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tabRatio="500" activeTab="0"/>
  </bookViews>
  <sheets>
    <sheet name="табличка" sheetId="1" r:id="rId1"/>
  </sheets>
  <definedNames/>
  <calcPr fullCalcOnLoad="1"/>
</workbook>
</file>

<file path=xl/sharedStrings.xml><?xml version="1.0" encoding="utf-8"?>
<sst xmlns="http://schemas.openxmlformats.org/spreadsheetml/2006/main" count="380" uniqueCount="207">
  <si>
    <t>Surname</t>
  </si>
  <si>
    <t>Name</t>
  </si>
  <si>
    <t>Класс</t>
  </si>
  <si>
    <t>Город</t>
  </si>
  <si>
    <t>454.Сhem %</t>
  </si>
  <si>
    <t>455.Chem status</t>
  </si>
  <si>
    <t>451.Phys status</t>
  </si>
  <si>
    <t>448.Math %</t>
  </si>
  <si>
    <t>449.Math status</t>
  </si>
  <si>
    <t>452.Inf %</t>
  </si>
  <si>
    <t>453.Inf status</t>
  </si>
  <si>
    <t>446.Bio %</t>
  </si>
  <si>
    <t>447.Bio status</t>
  </si>
  <si>
    <t>Сергачёва</t>
  </si>
  <si>
    <t>Александра</t>
  </si>
  <si>
    <t>победитель</t>
  </si>
  <si>
    <t>Гришина</t>
  </si>
  <si>
    <t>Алиса</t>
  </si>
  <si>
    <t>призер</t>
  </si>
  <si>
    <t>Стефаниди</t>
  </si>
  <si>
    <t>Ксения</t>
  </si>
  <si>
    <t>Вурц</t>
  </si>
  <si>
    <t>Луиза</t>
  </si>
  <si>
    <t>Ненахова</t>
  </si>
  <si>
    <t>Мария</t>
  </si>
  <si>
    <t>Ростовцева</t>
  </si>
  <si>
    <t>Анна</t>
  </si>
  <si>
    <t>Рудик</t>
  </si>
  <si>
    <t>Дарья</t>
  </si>
  <si>
    <t>Голощапов</t>
  </si>
  <si>
    <t>Михаил</t>
  </si>
  <si>
    <t>Кочеткова</t>
  </si>
  <si>
    <t>Анисья</t>
  </si>
  <si>
    <t>Куприянова</t>
  </si>
  <si>
    <t>Семиврагова</t>
  </si>
  <si>
    <t>Илона</t>
  </si>
  <si>
    <t>Булыгин</t>
  </si>
  <si>
    <t>Иван</t>
  </si>
  <si>
    <t>Корнякова</t>
  </si>
  <si>
    <t>Богер</t>
  </si>
  <si>
    <t>Юрий</t>
  </si>
  <si>
    <t>Тюрина</t>
  </si>
  <si>
    <t>Варвара</t>
  </si>
  <si>
    <t>Чепурко</t>
  </si>
  <si>
    <t>Максим</t>
  </si>
  <si>
    <t>Данченко</t>
  </si>
  <si>
    <t>Алексей</t>
  </si>
  <si>
    <t>Вахрушев</t>
  </si>
  <si>
    <t>Егор</t>
  </si>
  <si>
    <t>Покровский</t>
  </si>
  <si>
    <t>Арапова</t>
  </si>
  <si>
    <t>Зяблова</t>
  </si>
  <si>
    <t>Денисова</t>
  </si>
  <si>
    <t>Софья</t>
  </si>
  <si>
    <t>Скрипкина</t>
  </si>
  <si>
    <t>Вождаев</t>
  </si>
  <si>
    <t>Богдан</t>
  </si>
  <si>
    <t>Стожарова</t>
  </si>
  <si>
    <t>Марина</t>
  </si>
  <si>
    <t>Дроздова</t>
  </si>
  <si>
    <t>Елизавета</t>
  </si>
  <si>
    <t>Хориэ</t>
  </si>
  <si>
    <t>Митио</t>
  </si>
  <si>
    <t>Горбунова</t>
  </si>
  <si>
    <t>Попов</t>
  </si>
  <si>
    <t>Петр</t>
  </si>
  <si>
    <t>Меньшиков</t>
  </si>
  <si>
    <t>Никита</t>
  </si>
  <si>
    <t>Болдырева</t>
  </si>
  <si>
    <t>Кочелов</t>
  </si>
  <si>
    <t>Степан</t>
  </si>
  <si>
    <t>Победитель</t>
  </si>
  <si>
    <t>Красников</t>
  </si>
  <si>
    <t>Ярослав</t>
  </si>
  <si>
    <t>Панасов</t>
  </si>
  <si>
    <t>Евгений</t>
  </si>
  <si>
    <t>Алексеева</t>
  </si>
  <si>
    <t>Алёна</t>
  </si>
  <si>
    <t>Призер</t>
  </si>
  <si>
    <t>Козич</t>
  </si>
  <si>
    <t>Арсений</t>
  </si>
  <si>
    <t>Сергиевский</t>
  </si>
  <si>
    <t>Артем</t>
  </si>
  <si>
    <t>Уткин</t>
  </si>
  <si>
    <t>Семенова</t>
  </si>
  <si>
    <t>Григорьев</t>
  </si>
  <si>
    <t>Илья</t>
  </si>
  <si>
    <t>Соколова</t>
  </si>
  <si>
    <t>Филичев</t>
  </si>
  <si>
    <t>Тимофей</t>
  </si>
  <si>
    <t>Заочинский</t>
  </si>
  <si>
    <t>Владимир</t>
  </si>
  <si>
    <t>Иванов</t>
  </si>
  <si>
    <t>Артемий</t>
  </si>
  <si>
    <t>Глухов</t>
  </si>
  <si>
    <t>Заварин</t>
  </si>
  <si>
    <t>Александр</t>
  </si>
  <si>
    <t>Кащеев</t>
  </si>
  <si>
    <t>Гаглоев</t>
  </si>
  <si>
    <t>Гуриелидзе</t>
  </si>
  <si>
    <t>Лаура</t>
  </si>
  <si>
    <t>Медея</t>
  </si>
  <si>
    <t>Исхаков</t>
  </si>
  <si>
    <t>Булат</t>
  </si>
  <si>
    <t>Киселев</t>
  </si>
  <si>
    <t>Валентин</t>
  </si>
  <si>
    <t>Полинов</t>
  </si>
  <si>
    <t>Сергей</t>
  </si>
  <si>
    <t>Скоркин</t>
  </si>
  <si>
    <t>Даниил</t>
  </si>
  <si>
    <t>Строгонова</t>
  </si>
  <si>
    <t>Татьяна</t>
  </si>
  <si>
    <t>Алексеев</t>
  </si>
  <si>
    <t>Станислав</t>
  </si>
  <si>
    <t>Позлевич</t>
  </si>
  <si>
    <t>Попова</t>
  </si>
  <si>
    <t>Чистоперов</t>
  </si>
  <si>
    <t>Чуев</t>
  </si>
  <si>
    <t>Савва</t>
  </si>
  <si>
    <t>Жеребцова</t>
  </si>
  <si>
    <t>Валерия</t>
  </si>
  <si>
    <t>Кушнаренко</t>
  </si>
  <si>
    <t>Сомкин</t>
  </si>
  <si>
    <t>Каминский</t>
  </si>
  <si>
    <t>Андрей</t>
  </si>
  <si>
    <t>Неустроева</t>
  </si>
  <si>
    <t>Нарыйаана</t>
  </si>
  <si>
    <t>Белкин</t>
  </si>
  <si>
    <t>Святослав</t>
  </si>
  <si>
    <t>Решетников</t>
  </si>
  <si>
    <t>Прожирова</t>
  </si>
  <si>
    <t>Арина</t>
  </si>
  <si>
    <t>Морозов</t>
  </si>
  <si>
    <t>Бакулева</t>
  </si>
  <si>
    <t>Черданцев</t>
  </si>
  <si>
    <t>Стефанюк</t>
  </si>
  <si>
    <t>София</t>
  </si>
  <si>
    <t>Шаляхина</t>
  </si>
  <si>
    <t>Гришин</t>
  </si>
  <si>
    <t>Леонид</t>
  </si>
  <si>
    <t>Муксунов</t>
  </si>
  <si>
    <t>Тамдин</t>
  </si>
  <si>
    <t>Майорова</t>
  </si>
  <si>
    <t>Хорошева</t>
  </si>
  <si>
    <t>Иванова</t>
  </si>
  <si>
    <t>Полина</t>
  </si>
  <si>
    <t>Насретдинов</t>
  </si>
  <si>
    <t>Амир</t>
  </si>
  <si>
    <t>Лобанов</t>
  </si>
  <si>
    <t>Серафим</t>
  </si>
  <si>
    <t>Чугунов</t>
  </si>
  <si>
    <t>Артём</t>
  </si>
  <si>
    <t>Матюшина</t>
  </si>
  <si>
    <t>Виктория</t>
  </si>
  <si>
    <t>3 лучших</t>
  </si>
  <si>
    <t>Екатеринбург</t>
  </si>
  <si>
    <t>Одинцово</t>
  </si>
  <si>
    <t>Фрязино</t>
  </si>
  <si>
    <t>Москва</t>
  </si>
  <si>
    <t>Краснодар</t>
  </si>
  <si>
    <t>Пенза</t>
  </si>
  <si>
    <t>Ижевск</t>
  </si>
  <si>
    <t>Петропавловск-Камчатский</t>
  </si>
  <si>
    <t>Ейск</t>
  </si>
  <si>
    <t>Сергиев Посад</t>
  </si>
  <si>
    <t>Саратов</t>
  </si>
  <si>
    <t>Ртищево, Саратовская обл.</t>
  </si>
  <si>
    <t>г.Московский, Мос. обл.</t>
  </si>
  <si>
    <t>Новомосковск, Тульская обл.</t>
  </si>
  <si>
    <t>Ангарск, Иркутская обл.</t>
  </si>
  <si>
    <t>Казань</t>
  </si>
  <si>
    <t>Голицыно, Мос. обл.</t>
  </si>
  <si>
    <t>Павловский Посад, Мос. обл.</t>
  </si>
  <si>
    <t>Онега, Архангельская обл.</t>
  </si>
  <si>
    <t>Курск</t>
  </si>
  <si>
    <t>Электросталь, Мос. обл.</t>
  </si>
  <si>
    <t>Балашиха</t>
  </si>
  <si>
    <t>Минск</t>
  </si>
  <si>
    <t>Пятигорск, Ставропольский край</t>
  </si>
  <si>
    <t>Ковров, Владимирская обл.</t>
  </si>
  <si>
    <t>Рязань</t>
  </si>
  <si>
    <t>Кострома</t>
  </si>
  <si>
    <t>Обнинск</t>
  </si>
  <si>
    <t>Выкса, Нижегородская обл.</t>
  </si>
  <si>
    <t>Красноярск</t>
  </si>
  <si>
    <t>Якутск</t>
  </si>
  <si>
    <t>Алчевск, Луганская обл.</t>
  </si>
  <si>
    <t>Волгоград</t>
  </si>
  <si>
    <t>Санкт-Петербург</t>
  </si>
  <si>
    <t>Новороссийск</t>
  </si>
  <si>
    <t>Каневская, Краснодарский край</t>
  </si>
  <si>
    <t>Мытищи</t>
  </si>
  <si>
    <t>Самара</t>
  </si>
  <si>
    <t>Западная Двина, Тверская обл.</t>
  </si>
  <si>
    <t>Георгиевск, Ставропольский край</t>
  </si>
  <si>
    <t>Нижний Новгород</t>
  </si>
  <si>
    <t>Воронеж</t>
  </si>
  <si>
    <t>Иваново</t>
  </si>
  <si>
    <t>Камакура, префектура Канагава</t>
  </si>
  <si>
    <t>Подольск</t>
  </si>
  <si>
    <t>Ростов-на-Дону</t>
  </si>
  <si>
    <t>Тверь</t>
  </si>
  <si>
    <t>Астрахань</t>
  </si>
  <si>
    <t>Курган, Курганская обл.</t>
  </si>
  <si>
    <t>Заречный, Пензенская обл.</t>
  </si>
  <si>
    <t>45 .Phys %</t>
  </si>
  <si>
    <t>пригласить в ЗШ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</si>
</sst>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¥&quot;#,##0;\-&quot;¥&quot;#,##0"/>
    <numFmt numFmtId="173" formatCode="&quot;¥&quot;#,##0;[Red]\-&quot;¥&quot;#,##0"/>
    <numFmt numFmtId="174" formatCode="&quot;¥&quot;#,##0.00;\-&quot;¥&quot;#,##0.00"/>
    <numFmt numFmtId="175" formatCode="&quot;¥&quot;#,##0.00;[Red]\-&quot;¥&quot;#,##0.00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color indexed="8"/>
      <name val="MS PGothic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PGothic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PGothic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PageLayoutView="0" workbookViewId="0" topLeftCell="A1">
      <selection activeCell="R51" sqref="R51"/>
    </sheetView>
  </sheetViews>
  <sheetFormatPr defaultColWidth="13.28125" defaultRowHeight="12"/>
  <cols>
    <col min="1" max="1" width="13.8515625" style="0" customWidth="1"/>
    <col min="2" max="2" width="13.28125" style="0" customWidth="1"/>
    <col min="3" max="3" width="6.57421875" style="0" customWidth="1"/>
    <col min="4" max="4" width="12.57421875" style="0" customWidth="1"/>
    <col min="5" max="5" width="8.421875" style="0" customWidth="1"/>
    <col min="6" max="6" width="10.7109375" style="0" customWidth="1"/>
    <col min="7" max="7" width="8.140625" style="0" customWidth="1"/>
    <col min="8" max="8" width="10.7109375" style="0" customWidth="1"/>
    <col min="9" max="9" width="8.00390625" style="2" customWidth="1"/>
    <col min="10" max="10" width="10.7109375" style="0" customWidth="1"/>
    <col min="11" max="11" width="6.421875" style="0" customWidth="1"/>
    <col min="12" max="12" width="10.8515625" style="0" customWidth="1"/>
    <col min="13" max="13" width="6.7109375" style="0" customWidth="1"/>
    <col min="14" max="14" width="10.7109375" style="0" customWidth="1"/>
    <col min="15" max="15" width="9.00390625" style="1" bestFit="1" customWidth="1"/>
    <col min="16" max="16" width="11.28125" style="1" hidden="1" customWidth="1"/>
    <col min="17" max="17" width="7.140625" style="1" hidden="1" customWidth="1"/>
    <col min="18" max="18" width="15.7109375" style="0" customWidth="1"/>
  </cols>
  <sheetData>
    <row r="1" spans="1:18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205</v>
      </c>
      <c r="H1" s="3" t="s">
        <v>6</v>
      </c>
      <c r="I1" s="4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5" t="s">
        <v>154</v>
      </c>
      <c r="P1" s="5" t="s">
        <v>71</v>
      </c>
      <c r="Q1" s="5" t="s">
        <v>78</v>
      </c>
      <c r="R1" s="6"/>
    </row>
    <row r="2" spans="1:18" ht="12.75">
      <c r="A2" s="5" t="s">
        <v>112</v>
      </c>
      <c r="B2" s="5" t="s">
        <v>113</v>
      </c>
      <c r="C2" s="5">
        <v>8</v>
      </c>
      <c r="D2" s="5" t="s">
        <v>155</v>
      </c>
      <c r="E2" s="6"/>
      <c r="F2" s="6"/>
      <c r="G2" s="5">
        <v>60</v>
      </c>
      <c r="H2" s="5"/>
      <c r="I2" s="7">
        <f>21*(10/2.8)</f>
        <v>75</v>
      </c>
      <c r="J2" s="5" t="str">
        <f>IF(I2=1,"победитель",IF(I2&gt;62,"призер",""))</f>
        <v>призер</v>
      </c>
      <c r="K2" s="7">
        <f>21*(10/3.2)</f>
        <v>65.625</v>
      </c>
      <c r="L2" s="5" t="s">
        <v>18</v>
      </c>
      <c r="M2" s="6"/>
      <c r="N2" s="6"/>
      <c r="O2" s="7">
        <f aca="true" t="shared" si="0" ref="O2:O38">IF(COUNT(E2:M2)=4,SUM(D2:M2)-MIN(D2:M2),IF(COUNT(D2:M2)=5,"err",SUM(D2:M2)))</f>
        <v>200.625</v>
      </c>
      <c r="P2" s="5">
        <f aca="true" t="shared" si="1" ref="P2:P33">COUNTIF(D2:N2,"победитель")</f>
        <v>0</v>
      </c>
      <c r="Q2" s="5">
        <f>COUNTIF(E2:N2,"призер")</f>
        <v>2</v>
      </c>
      <c r="R2" s="5" t="s">
        <v>206</v>
      </c>
    </row>
    <row r="3" spans="1:18" ht="12.75">
      <c r="A3" s="5" t="s">
        <v>50</v>
      </c>
      <c r="B3" s="5" t="s">
        <v>24</v>
      </c>
      <c r="C3" s="5">
        <v>8</v>
      </c>
      <c r="D3" s="5" t="s">
        <v>157</v>
      </c>
      <c r="E3" s="5">
        <v>92</v>
      </c>
      <c r="F3" s="5" t="s">
        <v>18</v>
      </c>
      <c r="G3" s="6"/>
      <c r="H3" s="6"/>
      <c r="I3" s="9"/>
      <c r="J3" s="6"/>
      <c r="K3" s="9"/>
      <c r="L3" s="6"/>
      <c r="M3" s="9"/>
      <c r="N3" s="6"/>
      <c r="O3" s="7">
        <f t="shared" si="0"/>
        <v>92</v>
      </c>
      <c r="P3" s="5">
        <f t="shared" si="1"/>
        <v>0</v>
      </c>
      <c r="Q3" s="5">
        <f>COUNTIF(E3:N3,"призер")</f>
        <v>1</v>
      </c>
      <c r="R3" s="5" t="s">
        <v>206</v>
      </c>
    </row>
    <row r="4" spans="1:18" ht="12.75">
      <c r="A4" s="5" t="s">
        <v>133</v>
      </c>
      <c r="B4" s="5" t="s">
        <v>53</v>
      </c>
      <c r="C4" s="5">
        <v>8</v>
      </c>
      <c r="D4" s="5" t="s">
        <v>158</v>
      </c>
      <c r="E4" s="6"/>
      <c r="F4" s="6"/>
      <c r="G4" s="6"/>
      <c r="H4" s="6"/>
      <c r="I4" s="7">
        <f>28*(10/2.8)</f>
        <v>100</v>
      </c>
      <c r="J4" s="5" t="str">
        <f>IF(I4=100,"победитель",IF(I4&gt;62,"призер",""))</f>
        <v>победитель</v>
      </c>
      <c r="K4" s="9"/>
      <c r="L4" s="6"/>
      <c r="M4" s="6"/>
      <c r="N4" s="6"/>
      <c r="O4" s="7">
        <f t="shared" si="0"/>
        <v>100</v>
      </c>
      <c r="P4" s="5">
        <f t="shared" si="1"/>
        <v>1</v>
      </c>
      <c r="Q4" s="5">
        <f>COUNTIF(E4:N4,"призер")</f>
        <v>0</v>
      </c>
      <c r="R4" s="8"/>
    </row>
    <row r="5" spans="1:18" ht="12.75">
      <c r="A5" s="3" t="s">
        <v>39</v>
      </c>
      <c r="B5" s="3" t="s">
        <v>40</v>
      </c>
      <c r="C5" s="5">
        <v>8</v>
      </c>
      <c r="D5" s="5" t="s">
        <v>167</v>
      </c>
      <c r="E5" s="6"/>
      <c r="F5" s="6"/>
      <c r="G5" s="5">
        <v>100</v>
      </c>
      <c r="H5" s="5" t="s">
        <v>15</v>
      </c>
      <c r="I5" s="7">
        <f>28*(10/2.8)</f>
        <v>100</v>
      </c>
      <c r="J5" s="5" t="str">
        <f>IF(I5=100,"победитель",IF(I5&gt;62,"призер",""))</f>
        <v>победитель</v>
      </c>
      <c r="K5" s="7">
        <f>18*(10/3.2)</f>
        <v>56.25</v>
      </c>
      <c r="L5" s="5" t="s">
        <v>18</v>
      </c>
      <c r="M5" s="4">
        <f>51/2.5</f>
        <v>20.4</v>
      </c>
      <c r="N5" s="3"/>
      <c r="O5" s="7">
        <f t="shared" si="0"/>
        <v>256.25</v>
      </c>
      <c r="P5" s="5">
        <f t="shared" si="1"/>
        <v>2</v>
      </c>
      <c r="Q5" s="5">
        <f>COUNTIF(E5:N5,"призер")</f>
        <v>1</v>
      </c>
      <c r="R5" s="5" t="s">
        <v>206</v>
      </c>
    </row>
    <row r="6" spans="1:18" ht="12.75">
      <c r="A6" s="5" t="s">
        <v>68</v>
      </c>
      <c r="B6" s="5" t="s">
        <v>28</v>
      </c>
      <c r="C6" s="5">
        <v>8</v>
      </c>
      <c r="D6" s="5" t="s">
        <v>158</v>
      </c>
      <c r="E6" s="5">
        <v>24</v>
      </c>
      <c r="F6" s="6"/>
      <c r="G6" s="6"/>
      <c r="H6" s="6"/>
      <c r="I6" s="9"/>
      <c r="J6" s="6"/>
      <c r="K6" s="9"/>
      <c r="L6" s="6"/>
      <c r="M6" s="9"/>
      <c r="N6" s="6"/>
      <c r="O6" s="7">
        <f t="shared" si="0"/>
        <v>24</v>
      </c>
      <c r="P6" s="5">
        <f t="shared" si="1"/>
        <v>0</v>
      </c>
      <c r="Q6" s="5">
        <f>COUNTIF(E6:N6,"призер")</f>
        <v>0</v>
      </c>
      <c r="R6" s="10"/>
    </row>
    <row r="7" spans="1:18" ht="12.75">
      <c r="A7" s="5" t="s">
        <v>55</v>
      </c>
      <c r="B7" s="5" t="s">
        <v>56</v>
      </c>
      <c r="C7" s="5">
        <v>8</v>
      </c>
      <c r="D7" s="5" t="s">
        <v>162</v>
      </c>
      <c r="E7" s="5">
        <v>72</v>
      </c>
      <c r="F7" s="6"/>
      <c r="G7" s="5">
        <v>60</v>
      </c>
      <c r="H7" s="6"/>
      <c r="I7" s="7">
        <f>18*(10/2.8)</f>
        <v>64.28571428571429</v>
      </c>
      <c r="J7" s="5" t="str">
        <f>IF(I7=100,"победитель",IF(I7&gt;62,"призер",""))</f>
        <v>призер</v>
      </c>
      <c r="K7" s="9"/>
      <c r="L7" s="6"/>
      <c r="M7" s="9"/>
      <c r="N7" s="6"/>
      <c r="O7" s="7">
        <f t="shared" si="0"/>
        <v>196.28571428571428</v>
      </c>
      <c r="P7" s="5">
        <f t="shared" si="1"/>
        <v>0</v>
      </c>
      <c r="Q7" s="5">
        <f>COUNTIF(D7:M7,"призер")</f>
        <v>1</v>
      </c>
      <c r="R7" s="5" t="s">
        <v>206</v>
      </c>
    </row>
    <row r="8" spans="1:18" ht="12.75">
      <c r="A8" s="3" t="s">
        <v>21</v>
      </c>
      <c r="B8" s="3" t="s">
        <v>22</v>
      </c>
      <c r="C8" s="5">
        <v>8</v>
      </c>
      <c r="D8" s="5" t="s">
        <v>163</v>
      </c>
      <c r="E8" s="5">
        <v>76</v>
      </c>
      <c r="F8" s="5" t="s">
        <v>18</v>
      </c>
      <c r="G8" s="3"/>
      <c r="H8" s="3"/>
      <c r="I8" s="7">
        <f>25*(10/2.8)</f>
        <v>89.28571428571429</v>
      </c>
      <c r="J8" s="5" t="str">
        <f>IF(I8=100,"победитель",IF(I8&gt;62,"призер",""))</f>
        <v>призер</v>
      </c>
      <c r="K8" s="4"/>
      <c r="L8" s="3"/>
      <c r="M8" s="4">
        <f>135/2.5</f>
        <v>54</v>
      </c>
      <c r="N8" s="3" t="s">
        <v>18</v>
      </c>
      <c r="O8" s="7">
        <f t="shared" si="0"/>
        <v>219.28571428571428</v>
      </c>
      <c r="P8" s="5">
        <f t="shared" si="1"/>
        <v>0</v>
      </c>
      <c r="Q8" s="5">
        <f aca="true" t="shared" si="2" ref="Q8:Q39">COUNTIF(E8:N8,"призер")</f>
        <v>3</v>
      </c>
      <c r="R8" s="8"/>
    </row>
    <row r="9" spans="1:18" ht="12.75">
      <c r="A9" s="5" t="s">
        <v>98</v>
      </c>
      <c r="B9" s="5" t="s">
        <v>86</v>
      </c>
      <c r="C9" s="5">
        <v>8</v>
      </c>
      <c r="D9" s="5" t="s">
        <v>164</v>
      </c>
      <c r="E9" s="6"/>
      <c r="F9" s="6"/>
      <c r="G9" s="5">
        <v>95</v>
      </c>
      <c r="H9" s="5" t="s">
        <v>18</v>
      </c>
      <c r="I9" s="9"/>
      <c r="J9" s="6"/>
      <c r="K9" s="7">
        <f>13*(10/3.2)</f>
        <v>40.625</v>
      </c>
      <c r="L9" s="6"/>
      <c r="M9" s="6"/>
      <c r="N9" s="6"/>
      <c r="O9" s="7">
        <f t="shared" si="0"/>
        <v>135.625</v>
      </c>
      <c r="P9" s="5">
        <f t="shared" si="1"/>
        <v>0</v>
      </c>
      <c r="Q9" s="5">
        <f t="shared" si="2"/>
        <v>1</v>
      </c>
      <c r="R9" s="5" t="s">
        <v>206</v>
      </c>
    </row>
    <row r="10" spans="1:18" ht="12.75">
      <c r="A10" s="5" t="s">
        <v>94</v>
      </c>
      <c r="B10" s="5" t="s">
        <v>44</v>
      </c>
      <c r="C10" s="5">
        <v>8</v>
      </c>
      <c r="D10" s="5" t="s">
        <v>165</v>
      </c>
      <c r="E10" s="6"/>
      <c r="F10" s="6"/>
      <c r="G10" s="5">
        <v>100</v>
      </c>
      <c r="H10" s="5" t="s">
        <v>15</v>
      </c>
      <c r="I10" s="7">
        <f>28*(10/2.8)</f>
        <v>100</v>
      </c>
      <c r="J10" s="5" t="str">
        <f>IF(I10=100,"победитель",IF(I10&gt;62,"призер",""))</f>
        <v>победитель</v>
      </c>
      <c r="K10" s="9"/>
      <c r="L10" s="6"/>
      <c r="M10" s="6"/>
      <c r="N10" s="6"/>
      <c r="O10" s="7">
        <f t="shared" si="0"/>
        <v>200</v>
      </c>
      <c r="P10" s="5">
        <f t="shared" si="1"/>
        <v>2</v>
      </c>
      <c r="Q10" s="5">
        <f t="shared" si="2"/>
        <v>0</v>
      </c>
      <c r="R10" s="8"/>
    </row>
    <row r="11" spans="1:18" ht="12.75">
      <c r="A11" s="5" t="s">
        <v>63</v>
      </c>
      <c r="B11" s="5" t="s">
        <v>60</v>
      </c>
      <c r="C11" s="5">
        <v>8</v>
      </c>
      <c r="D11" s="5" t="s">
        <v>161</v>
      </c>
      <c r="E11" s="5">
        <v>60</v>
      </c>
      <c r="F11" s="6"/>
      <c r="G11" s="5">
        <v>20</v>
      </c>
      <c r="H11" s="6"/>
      <c r="I11" s="9"/>
      <c r="J11" s="6"/>
      <c r="K11" s="7">
        <f>18*(10/3.2)</f>
        <v>56.25</v>
      </c>
      <c r="L11" s="5" t="s">
        <v>18</v>
      </c>
      <c r="M11" s="9"/>
      <c r="N11" s="6"/>
      <c r="O11" s="7">
        <f t="shared" si="0"/>
        <v>136.25</v>
      </c>
      <c r="P11" s="5">
        <f t="shared" si="1"/>
        <v>0</v>
      </c>
      <c r="Q11" s="5">
        <f t="shared" si="2"/>
        <v>1</v>
      </c>
      <c r="R11" s="5" t="s">
        <v>206</v>
      </c>
    </row>
    <row r="12" spans="1:18" ht="12.75">
      <c r="A12" s="11" t="s">
        <v>138</v>
      </c>
      <c r="B12" s="11" t="s">
        <v>139</v>
      </c>
      <c r="C12" s="5">
        <v>8</v>
      </c>
      <c r="D12" s="5" t="s">
        <v>169</v>
      </c>
      <c r="E12" s="6"/>
      <c r="F12" s="6"/>
      <c r="G12" s="6"/>
      <c r="H12" s="6"/>
      <c r="I12" s="9"/>
      <c r="J12" s="6"/>
      <c r="K12" s="7">
        <f>23*(10/3.2)</f>
        <v>71.875</v>
      </c>
      <c r="L12" s="5" t="s">
        <v>18</v>
      </c>
      <c r="M12" s="6"/>
      <c r="N12" s="6"/>
      <c r="O12" s="7">
        <f t="shared" si="0"/>
        <v>71.875</v>
      </c>
      <c r="P12" s="5">
        <f t="shared" si="1"/>
        <v>0</v>
      </c>
      <c r="Q12" s="5">
        <f t="shared" si="2"/>
        <v>1</v>
      </c>
      <c r="R12" s="8"/>
    </row>
    <row r="13" spans="1:18" ht="12.75">
      <c r="A13" s="3" t="s">
        <v>16</v>
      </c>
      <c r="B13" s="3" t="s">
        <v>17</v>
      </c>
      <c r="C13" s="5">
        <v>8</v>
      </c>
      <c r="D13" s="5" t="s">
        <v>158</v>
      </c>
      <c r="E13" s="5">
        <v>100</v>
      </c>
      <c r="F13" s="5" t="s">
        <v>15</v>
      </c>
      <c r="G13" s="3"/>
      <c r="H13" s="3"/>
      <c r="I13" s="7">
        <f>28*(10/2.8)</f>
        <v>100</v>
      </c>
      <c r="J13" s="5" t="str">
        <f>IF(I13=100,"победитель",IF(I13&gt;62,"призер",""))</f>
        <v>победитель</v>
      </c>
      <c r="K13" s="7">
        <f>28*(10/3.2)</f>
        <v>87.5</v>
      </c>
      <c r="L13" s="5" t="s">
        <v>15</v>
      </c>
      <c r="M13" s="4">
        <f>166/2.5</f>
        <v>66.4</v>
      </c>
      <c r="N13" s="3" t="s">
        <v>18</v>
      </c>
      <c r="O13" s="7">
        <f t="shared" si="0"/>
        <v>287.5</v>
      </c>
      <c r="P13" s="5">
        <f t="shared" si="1"/>
        <v>3</v>
      </c>
      <c r="Q13" s="5">
        <f t="shared" si="2"/>
        <v>1</v>
      </c>
      <c r="R13" s="5" t="s">
        <v>206</v>
      </c>
    </row>
    <row r="14" spans="1:18" ht="12.75">
      <c r="A14" s="5" t="s">
        <v>99</v>
      </c>
      <c r="B14" s="5" t="s">
        <v>100</v>
      </c>
      <c r="C14" s="5">
        <v>8</v>
      </c>
      <c r="D14" s="5" t="s">
        <v>170</v>
      </c>
      <c r="E14" s="6"/>
      <c r="F14" s="6"/>
      <c r="G14" s="5">
        <v>80</v>
      </c>
      <c r="H14" s="5" t="s">
        <v>18</v>
      </c>
      <c r="I14" s="7">
        <f>7*(10/2.8)</f>
        <v>25</v>
      </c>
      <c r="J14" s="5">
        <f>IF(I14=100,"победитель",IF(I14&gt;62,"призер",""))</f>
      </c>
      <c r="K14" s="9"/>
      <c r="L14" s="6"/>
      <c r="M14" s="6"/>
      <c r="N14" s="6"/>
      <c r="O14" s="7">
        <f t="shared" si="0"/>
        <v>105</v>
      </c>
      <c r="P14" s="5">
        <f t="shared" si="1"/>
        <v>0</v>
      </c>
      <c r="Q14" s="5">
        <f t="shared" si="2"/>
        <v>1</v>
      </c>
      <c r="R14" s="5" t="s">
        <v>206</v>
      </c>
    </row>
    <row r="15" spans="1:18" ht="12.75">
      <c r="A15" s="5" t="s">
        <v>99</v>
      </c>
      <c r="B15" s="5" t="s">
        <v>101</v>
      </c>
      <c r="C15" s="5">
        <v>8</v>
      </c>
      <c r="D15" s="5" t="s">
        <v>170</v>
      </c>
      <c r="E15" s="6"/>
      <c r="F15" s="6"/>
      <c r="G15" s="5">
        <v>80</v>
      </c>
      <c r="H15" s="5" t="s">
        <v>18</v>
      </c>
      <c r="I15" s="7">
        <f>7*(10/2.8)</f>
        <v>25</v>
      </c>
      <c r="J15" s="5">
        <f>IF(I15=100,"победитель",IF(I15&gt;62,"призер",""))</f>
      </c>
      <c r="K15" s="9"/>
      <c r="L15" s="6"/>
      <c r="M15" s="6"/>
      <c r="N15" s="6"/>
      <c r="O15" s="7">
        <f t="shared" si="0"/>
        <v>105</v>
      </c>
      <c r="P15" s="5">
        <f t="shared" si="1"/>
        <v>0</v>
      </c>
      <c r="Q15" s="5">
        <f t="shared" si="2"/>
        <v>1</v>
      </c>
      <c r="R15" s="5" t="s">
        <v>206</v>
      </c>
    </row>
    <row r="16" spans="1:18" ht="12.75">
      <c r="A16" s="5" t="s">
        <v>45</v>
      </c>
      <c r="B16" s="5" t="s">
        <v>46</v>
      </c>
      <c r="C16" s="5">
        <v>8</v>
      </c>
      <c r="D16" s="5" t="s">
        <v>171</v>
      </c>
      <c r="E16" s="5">
        <v>92</v>
      </c>
      <c r="F16" s="5" t="s">
        <v>18</v>
      </c>
      <c r="G16" s="6"/>
      <c r="H16" s="6"/>
      <c r="I16" s="9"/>
      <c r="J16" s="6"/>
      <c r="K16" s="7">
        <f>22*(10/3.2)</f>
        <v>68.75</v>
      </c>
      <c r="L16" s="5" t="s">
        <v>18</v>
      </c>
      <c r="M16" s="9"/>
      <c r="N16" s="6"/>
      <c r="O16" s="7">
        <f t="shared" si="0"/>
        <v>160.75</v>
      </c>
      <c r="P16" s="5">
        <f t="shared" si="1"/>
        <v>0</v>
      </c>
      <c r="Q16" s="5">
        <f t="shared" si="2"/>
        <v>2</v>
      </c>
      <c r="R16" s="8"/>
    </row>
    <row r="17" spans="1:18" ht="12.75">
      <c r="A17" s="5" t="s">
        <v>52</v>
      </c>
      <c r="B17" s="5" t="s">
        <v>53</v>
      </c>
      <c r="C17" s="5">
        <v>8</v>
      </c>
      <c r="D17" s="5" t="s">
        <v>172</v>
      </c>
      <c r="E17" s="5">
        <v>84</v>
      </c>
      <c r="F17" s="5" t="s">
        <v>18</v>
      </c>
      <c r="G17" s="5">
        <v>80</v>
      </c>
      <c r="H17" s="5" t="s">
        <v>18</v>
      </c>
      <c r="I17" s="7">
        <f>20*(10/2.8)</f>
        <v>71.42857142857143</v>
      </c>
      <c r="J17" s="5" t="str">
        <f>IF(I17=100,"победитель",IF(I17&gt;62,"призер",""))</f>
        <v>призер</v>
      </c>
      <c r="K17" s="7">
        <f>25*(10/3.2)</f>
        <v>78.125</v>
      </c>
      <c r="L17" s="5" t="s">
        <v>18</v>
      </c>
      <c r="M17" s="9"/>
      <c r="N17" s="6"/>
      <c r="O17" s="7">
        <f t="shared" si="0"/>
        <v>242.125</v>
      </c>
      <c r="P17" s="5">
        <f t="shared" si="1"/>
        <v>0</v>
      </c>
      <c r="Q17" s="5">
        <f t="shared" si="2"/>
        <v>4</v>
      </c>
      <c r="R17" s="5" t="s">
        <v>206</v>
      </c>
    </row>
    <row r="18" spans="1:18" ht="12.75">
      <c r="A18" s="5" t="s">
        <v>59</v>
      </c>
      <c r="B18" s="5" t="s">
        <v>60</v>
      </c>
      <c r="C18" s="5">
        <v>8</v>
      </c>
      <c r="D18" s="5" t="s">
        <v>158</v>
      </c>
      <c r="E18" s="5">
        <v>64</v>
      </c>
      <c r="F18" s="6"/>
      <c r="G18" s="5">
        <v>60</v>
      </c>
      <c r="H18" s="6"/>
      <c r="I18" s="7">
        <f>11*(10/2.8)</f>
        <v>39.285714285714285</v>
      </c>
      <c r="J18" s="5">
        <f>IF(I18=100,"победитель",IF(I18&gt;62,"призер",""))</f>
      </c>
      <c r="K18" s="7">
        <f>20*(10/3.2)</f>
        <v>62.5</v>
      </c>
      <c r="L18" s="5" t="s">
        <v>18</v>
      </c>
      <c r="M18" s="9"/>
      <c r="N18" s="6"/>
      <c r="O18" s="7">
        <f t="shared" si="0"/>
        <v>186.5</v>
      </c>
      <c r="P18" s="5">
        <f t="shared" si="1"/>
        <v>0</v>
      </c>
      <c r="Q18" s="5">
        <f t="shared" si="2"/>
        <v>1</v>
      </c>
      <c r="R18" s="5" t="s">
        <v>206</v>
      </c>
    </row>
    <row r="19" spans="1:18" ht="12.75">
      <c r="A19" s="5" t="s">
        <v>119</v>
      </c>
      <c r="B19" s="5" t="s">
        <v>120</v>
      </c>
      <c r="C19" s="5">
        <v>8</v>
      </c>
      <c r="D19" s="5" t="s">
        <v>158</v>
      </c>
      <c r="E19" s="6"/>
      <c r="F19" s="6"/>
      <c r="G19" s="5">
        <v>50</v>
      </c>
      <c r="H19" s="5"/>
      <c r="I19" s="7">
        <f>21*(10/2.8)</f>
        <v>75</v>
      </c>
      <c r="J19" s="5" t="str">
        <f>IF(I19=100,"победитель",IF(I19&gt;62,"призер",""))</f>
        <v>призер</v>
      </c>
      <c r="K19" s="7">
        <f>12*(10/3.2)</f>
        <v>37.5</v>
      </c>
      <c r="L19" s="6"/>
      <c r="M19" s="6"/>
      <c r="N19" s="6"/>
      <c r="O19" s="7">
        <f t="shared" si="0"/>
        <v>162.5</v>
      </c>
      <c r="P19" s="5">
        <f t="shared" si="1"/>
        <v>0</v>
      </c>
      <c r="Q19" s="5">
        <f t="shared" si="2"/>
        <v>1</v>
      </c>
      <c r="R19" s="5" t="s">
        <v>206</v>
      </c>
    </row>
    <row r="20" spans="1:18" ht="12.75">
      <c r="A20" s="5" t="s">
        <v>95</v>
      </c>
      <c r="B20" s="5" t="s">
        <v>96</v>
      </c>
      <c r="C20" s="5">
        <v>8</v>
      </c>
      <c r="D20" s="5" t="s">
        <v>158</v>
      </c>
      <c r="E20" s="6"/>
      <c r="F20" s="6"/>
      <c r="G20" s="5">
        <v>100</v>
      </c>
      <c r="H20" s="5" t="s">
        <v>15</v>
      </c>
      <c r="I20" s="9"/>
      <c r="J20" s="6"/>
      <c r="K20" s="9"/>
      <c r="L20" s="6"/>
      <c r="M20" s="6"/>
      <c r="N20" s="6"/>
      <c r="O20" s="7">
        <f t="shared" si="0"/>
        <v>100</v>
      </c>
      <c r="P20" s="5">
        <f t="shared" si="1"/>
        <v>1</v>
      </c>
      <c r="Q20" s="5">
        <f t="shared" si="2"/>
        <v>0</v>
      </c>
      <c r="R20" s="5" t="s">
        <v>206</v>
      </c>
    </row>
    <row r="21" spans="1:18" ht="12.75">
      <c r="A21" s="5" t="s">
        <v>51</v>
      </c>
      <c r="B21" s="5" t="s">
        <v>24</v>
      </c>
      <c r="C21" s="5">
        <v>8</v>
      </c>
      <c r="D21" s="5" t="s">
        <v>159</v>
      </c>
      <c r="E21" s="5">
        <v>92</v>
      </c>
      <c r="F21" s="5" t="s">
        <v>18</v>
      </c>
      <c r="G21" s="6"/>
      <c r="H21" s="6"/>
      <c r="I21" s="9"/>
      <c r="J21" s="6"/>
      <c r="K21" s="9"/>
      <c r="L21" s="6"/>
      <c r="M21" s="9"/>
      <c r="N21" s="6"/>
      <c r="O21" s="7">
        <f t="shared" si="0"/>
        <v>92</v>
      </c>
      <c r="P21" s="5">
        <f t="shared" si="1"/>
        <v>0</v>
      </c>
      <c r="Q21" s="5">
        <f t="shared" si="2"/>
        <v>1</v>
      </c>
      <c r="R21" s="5" t="s">
        <v>206</v>
      </c>
    </row>
    <row r="22" spans="1:18" ht="12.75">
      <c r="A22" s="11" t="s">
        <v>144</v>
      </c>
      <c r="B22" s="11" t="s">
        <v>145</v>
      </c>
      <c r="C22" s="5">
        <v>8</v>
      </c>
      <c r="D22" s="5" t="s">
        <v>175</v>
      </c>
      <c r="E22" s="6"/>
      <c r="F22" s="6"/>
      <c r="G22" s="6"/>
      <c r="H22" s="6"/>
      <c r="I22" s="9"/>
      <c r="J22" s="6"/>
      <c r="K22" s="7">
        <f>18*(10/3.2)</f>
        <v>56.25</v>
      </c>
      <c r="L22" s="5" t="s">
        <v>18</v>
      </c>
      <c r="M22" s="6"/>
      <c r="N22" s="6"/>
      <c r="O22" s="7">
        <f t="shared" si="0"/>
        <v>56.25</v>
      </c>
      <c r="P22" s="5">
        <f t="shared" si="1"/>
        <v>0</v>
      </c>
      <c r="Q22" s="5">
        <f t="shared" si="2"/>
        <v>1</v>
      </c>
      <c r="R22" s="13"/>
    </row>
    <row r="23" spans="1:18" ht="12.75">
      <c r="A23" s="5" t="s">
        <v>102</v>
      </c>
      <c r="B23" s="5" t="s">
        <v>103</v>
      </c>
      <c r="C23" s="5">
        <v>8</v>
      </c>
      <c r="D23" s="5" t="s">
        <v>170</v>
      </c>
      <c r="E23" s="6"/>
      <c r="F23" s="6"/>
      <c r="G23" s="5">
        <v>80</v>
      </c>
      <c r="H23" s="5" t="s">
        <v>18</v>
      </c>
      <c r="I23" s="7">
        <f>28*(10/2.8)</f>
        <v>100</v>
      </c>
      <c r="J23" s="5" t="str">
        <f>IF(I23=100,"победитель",IF(I23&gt;62,"призер",""))</f>
        <v>победитель</v>
      </c>
      <c r="K23" s="7">
        <f>13*(10/3.2)</f>
        <v>40.625</v>
      </c>
      <c r="L23" s="6"/>
      <c r="M23" s="6"/>
      <c r="N23" s="6"/>
      <c r="O23" s="7">
        <f t="shared" si="0"/>
        <v>220.625</v>
      </c>
      <c r="P23" s="5">
        <f t="shared" si="1"/>
        <v>1</v>
      </c>
      <c r="Q23" s="5">
        <f t="shared" si="2"/>
        <v>1</v>
      </c>
      <c r="R23" s="8"/>
    </row>
    <row r="24" spans="1:18" ht="12.75">
      <c r="A24" s="5" t="s">
        <v>97</v>
      </c>
      <c r="B24" s="5" t="s">
        <v>30</v>
      </c>
      <c r="C24" s="5">
        <v>8</v>
      </c>
      <c r="D24" s="5" t="s">
        <v>158</v>
      </c>
      <c r="E24" s="6"/>
      <c r="F24" s="6"/>
      <c r="G24" s="5">
        <v>100</v>
      </c>
      <c r="H24" s="5" t="s">
        <v>15</v>
      </c>
      <c r="I24" s="7">
        <f>28*(10/2.8)</f>
        <v>100</v>
      </c>
      <c r="J24" s="5" t="str">
        <f>IF(I24=100,"победитель",IF(I24&gt;62,"призер",""))</f>
        <v>победитель</v>
      </c>
      <c r="K24" s="9"/>
      <c r="L24" s="6"/>
      <c r="M24" s="6"/>
      <c r="N24" s="6"/>
      <c r="O24" s="7">
        <f t="shared" si="0"/>
        <v>200</v>
      </c>
      <c r="P24" s="5">
        <f t="shared" si="1"/>
        <v>2</v>
      </c>
      <c r="Q24" s="5">
        <f t="shared" si="2"/>
        <v>0</v>
      </c>
      <c r="R24" s="5" t="s">
        <v>206</v>
      </c>
    </row>
    <row r="25" spans="1:18" ht="12.75">
      <c r="A25" s="5" t="s">
        <v>104</v>
      </c>
      <c r="B25" s="5" t="s">
        <v>105</v>
      </c>
      <c r="C25" s="5">
        <v>8</v>
      </c>
      <c r="D25" s="5" t="s">
        <v>158</v>
      </c>
      <c r="E25" s="6"/>
      <c r="F25" s="6"/>
      <c r="G25" s="5">
        <v>80</v>
      </c>
      <c r="H25" s="5" t="s">
        <v>18</v>
      </c>
      <c r="I25" s="9"/>
      <c r="J25" s="6"/>
      <c r="K25" s="7">
        <f>12*(10/3.2)</f>
        <v>37.5</v>
      </c>
      <c r="L25" s="6"/>
      <c r="M25" s="6"/>
      <c r="N25" s="6"/>
      <c r="O25" s="7">
        <f t="shared" si="0"/>
        <v>117.5</v>
      </c>
      <c r="P25" s="5">
        <f t="shared" si="1"/>
        <v>0</v>
      </c>
      <c r="Q25" s="5">
        <f t="shared" si="2"/>
        <v>1</v>
      </c>
      <c r="R25" s="5" t="s">
        <v>206</v>
      </c>
    </row>
    <row r="26" spans="1:18" ht="12.75">
      <c r="A26" s="3" t="s">
        <v>38</v>
      </c>
      <c r="B26" s="3" t="s">
        <v>20</v>
      </c>
      <c r="C26" s="5">
        <v>8</v>
      </c>
      <c r="D26" s="3" t="s">
        <v>158</v>
      </c>
      <c r="E26" s="5">
        <v>72</v>
      </c>
      <c r="F26" s="5"/>
      <c r="G26" s="3"/>
      <c r="H26" s="3"/>
      <c r="I26" s="4"/>
      <c r="J26" s="3"/>
      <c r="K26" s="7">
        <f>6*(10/3.2)</f>
        <v>18.75</v>
      </c>
      <c r="L26" s="3"/>
      <c r="M26" s="4">
        <f>80/2.5</f>
        <v>32</v>
      </c>
      <c r="N26" s="3"/>
      <c r="O26" s="7">
        <f t="shared" si="0"/>
        <v>122.75</v>
      </c>
      <c r="P26" s="5">
        <f t="shared" si="1"/>
        <v>0</v>
      </c>
      <c r="Q26" s="5">
        <f t="shared" si="2"/>
        <v>0</v>
      </c>
      <c r="R26" s="10"/>
    </row>
    <row r="27" spans="1:18" ht="12.75">
      <c r="A27" s="3" t="s">
        <v>31</v>
      </c>
      <c r="B27" s="3" t="s">
        <v>32</v>
      </c>
      <c r="C27" s="5">
        <v>8</v>
      </c>
      <c r="D27" s="3" t="s">
        <v>179</v>
      </c>
      <c r="E27" s="5"/>
      <c r="F27" s="5"/>
      <c r="G27" s="5">
        <v>55</v>
      </c>
      <c r="H27" s="3"/>
      <c r="I27" s="4"/>
      <c r="J27" s="3"/>
      <c r="K27" s="7">
        <f>22*(10/3.2)</f>
        <v>68.75</v>
      </c>
      <c r="L27" s="5" t="s">
        <v>18</v>
      </c>
      <c r="M27" s="4">
        <f>97/2.5</f>
        <v>38.8</v>
      </c>
      <c r="N27" s="3"/>
      <c r="O27" s="7">
        <f t="shared" si="0"/>
        <v>162.55</v>
      </c>
      <c r="P27" s="5">
        <f t="shared" si="1"/>
        <v>0</v>
      </c>
      <c r="Q27" s="5">
        <f t="shared" si="2"/>
        <v>1</v>
      </c>
      <c r="R27" s="8"/>
    </row>
    <row r="28" spans="1:18" ht="12.75">
      <c r="A28" s="3" t="s">
        <v>33</v>
      </c>
      <c r="B28" s="3" t="s">
        <v>26</v>
      </c>
      <c r="C28" s="5">
        <v>8</v>
      </c>
      <c r="D28" s="3" t="s">
        <v>180</v>
      </c>
      <c r="E28" s="5"/>
      <c r="F28" s="5"/>
      <c r="G28" s="5">
        <v>100</v>
      </c>
      <c r="H28" s="5" t="s">
        <v>15</v>
      </c>
      <c r="I28" s="7">
        <f>18*(10/2.8)</f>
        <v>64.28571428571429</v>
      </c>
      <c r="J28" s="5" t="str">
        <f>IF(I28=100,"победитель",IF(I28&gt;62,"призер",""))</f>
        <v>призер</v>
      </c>
      <c r="K28" s="7">
        <f>29*(10/3.2)</f>
        <v>90.625</v>
      </c>
      <c r="L28" s="5" t="s">
        <v>15</v>
      </c>
      <c r="M28" s="4">
        <f>94/2.5</f>
        <v>37.6</v>
      </c>
      <c r="N28" s="3"/>
      <c r="O28" s="7">
        <f t="shared" si="0"/>
        <v>254.9107142857143</v>
      </c>
      <c r="P28" s="5">
        <f t="shared" si="1"/>
        <v>2</v>
      </c>
      <c r="Q28" s="5">
        <f t="shared" si="2"/>
        <v>1</v>
      </c>
      <c r="R28" s="8"/>
    </row>
    <row r="29" spans="1:18" ht="12.75">
      <c r="A29" s="5" t="s">
        <v>121</v>
      </c>
      <c r="B29" s="5" t="s">
        <v>48</v>
      </c>
      <c r="C29" s="5">
        <v>8</v>
      </c>
      <c r="D29" s="5" t="s">
        <v>176</v>
      </c>
      <c r="E29" s="6"/>
      <c r="F29" s="6"/>
      <c r="G29" s="5">
        <v>50</v>
      </c>
      <c r="H29" s="5"/>
      <c r="I29" s="9"/>
      <c r="J29" s="6"/>
      <c r="K29" s="7">
        <f>20*(10/3.2)</f>
        <v>62.5</v>
      </c>
      <c r="L29" s="5" t="s">
        <v>18</v>
      </c>
      <c r="M29" s="6"/>
      <c r="N29" s="6"/>
      <c r="O29" s="7">
        <f t="shared" si="0"/>
        <v>112.5</v>
      </c>
      <c r="P29" s="5">
        <f t="shared" si="1"/>
        <v>0</v>
      </c>
      <c r="Q29" s="5">
        <f t="shared" si="2"/>
        <v>1</v>
      </c>
      <c r="R29" s="5" t="s">
        <v>206</v>
      </c>
    </row>
    <row r="30" spans="1:18" ht="12.75">
      <c r="A30" s="11" t="s">
        <v>142</v>
      </c>
      <c r="B30" s="11" t="s">
        <v>58</v>
      </c>
      <c r="C30" s="5">
        <v>8</v>
      </c>
      <c r="D30" s="5" t="s">
        <v>181</v>
      </c>
      <c r="E30" s="6"/>
      <c r="F30" s="6"/>
      <c r="G30" s="6"/>
      <c r="H30" s="6"/>
      <c r="I30" s="9"/>
      <c r="J30" s="6"/>
      <c r="K30" s="7">
        <f>19*(10/3.2)</f>
        <v>59.375</v>
      </c>
      <c r="L30" s="5" t="s">
        <v>18</v>
      </c>
      <c r="M30" s="6"/>
      <c r="N30" s="6"/>
      <c r="O30" s="7">
        <f t="shared" si="0"/>
        <v>59.375</v>
      </c>
      <c r="P30" s="5">
        <f t="shared" si="1"/>
        <v>0</v>
      </c>
      <c r="Q30" s="5">
        <f t="shared" si="2"/>
        <v>1</v>
      </c>
      <c r="R30" s="13"/>
    </row>
    <row r="31" spans="1:18" ht="12.75">
      <c r="A31" s="11" t="s">
        <v>152</v>
      </c>
      <c r="B31" s="11" t="s">
        <v>153</v>
      </c>
      <c r="C31" s="5">
        <v>8</v>
      </c>
      <c r="D31" s="5" t="s">
        <v>182</v>
      </c>
      <c r="E31" s="6"/>
      <c r="F31" s="6"/>
      <c r="G31" s="6"/>
      <c r="H31" s="6"/>
      <c r="I31" s="9"/>
      <c r="J31" s="6"/>
      <c r="K31" s="7">
        <f>3*(10/3.2)</f>
        <v>9.375</v>
      </c>
      <c r="L31" s="5"/>
      <c r="M31" s="6"/>
      <c r="N31" s="6"/>
      <c r="O31" s="7">
        <f t="shared" si="0"/>
        <v>9.375</v>
      </c>
      <c r="P31" s="5">
        <f t="shared" si="1"/>
        <v>0</v>
      </c>
      <c r="Q31" s="5">
        <f t="shared" si="2"/>
        <v>0</v>
      </c>
      <c r="R31" s="10"/>
    </row>
    <row r="32" spans="1:18" ht="12.75">
      <c r="A32" s="5" t="s">
        <v>66</v>
      </c>
      <c r="B32" s="5" t="s">
        <v>67</v>
      </c>
      <c r="C32" s="5">
        <v>8</v>
      </c>
      <c r="D32" s="5" t="s">
        <v>183</v>
      </c>
      <c r="E32" s="5">
        <v>44</v>
      </c>
      <c r="F32" s="6"/>
      <c r="G32" s="5">
        <v>90</v>
      </c>
      <c r="H32" s="5" t="s">
        <v>18</v>
      </c>
      <c r="I32" s="9"/>
      <c r="J32" s="6"/>
      <c r="K32" s="9"/>
      <c r="L32" s="6"/>
      <c r="M32" s="9"/>
      <c r="N32" s="6"/>
      <c r="O32" s="7">
        <f t="shared" si="0"/>
        <v>134</v>
      </c>
      <c r="P32" s="5">
        <f t="shared" si="1"/>
        <v>0</v>
      </c>
      <c r="Q32" s="5">
        <f t="shared" si="2"/>
        <v>1</v>
      </c>
      <c r="R32" s="5" t="s">
        <v>206</v>
      </c>
    </row>
    <row r="33" spans="1:18" ht="12.75">
      <c r="A33" s="11" t="s">
        <v>140</v>
      </c>
      <c r="B33" s="11" t="s">
        <v>141</v>
      </c>
      <c r="C33" s="5">
        <v>8</v>
      </c>
      <c r="D33" s="5" t="s">
        <v>158</v>
      </c>
      <c r="E33" s="6"/>
      <c r="F33" s="6"/>
      <c r="G33" s="6"/>
      <c r="H33" s="6"/>
      <c r="I33" s="9"/>
      <c r="J33" s="6"/>
      <c r="K33" s="7">
        <f>20*(10/3.2)</f>
        <v>62.5</v>
      </c>
      <c r="L33" s="5" t="s">
        <v>18</v>
      </c>
      <c r="M33" s="6"/>
      <c r="N33" s="6"/>
      <c r="O33" s="7">
        <f t="shared" si="0"/>
        <v>62.5</v>
      </c>
      <c r="P33" s="5">
        <f t="shared" si="1"/>
        <v>0</v>
      </c>
      <c r="Q33" s="5">
        <f t="shared" si="2"/>
        <v>1</v>
      </c>
      <c r="R33" s="6"/>
    </row>
    <row r="34" spans="1:18" ht="12.75">
      <c r="A34" s="5" t="s">
        <v>114</v>
      </c>
      <c r="B34" s="5" t="s">
        <v>30</v>
      </c>
      <c r="C34" s="5">
        <v>8</v>
      </c>
      <c r="D34" s="5" t="s">
        <v>158</v>
      </c>
      <c r="E34" s="6"/>
      <c r="F34" s="6"/>
      <c r="G34" s="5">
        <v>60</v>
      </c>
      <c r="H34" s="5"/>
      <c r="I34" s="9"/>
      <c r="J34" s="6"/>
      <c r="K34" s="9"/>
      <c r="L34" s="6"/>
      <c r="M34" s="6"/>
      <c r="N34" s="6"/>
      <c r="O34" s="7">
        <f t="shared" si="0"/>
        <v>60</v>
      </c>
      <c r="P34" s="5">
        <f aca="true" t="shared" si="3" ref="P34:P56">COUNTIF(D34:N34,"победитель")</f>
        <v>0</v>
      </c>
      <c r="Q34" s="5">
        <f t="shared" si="2"/>
        <v>0</v>
      </c>
      <c r="R34" s="10"/>
    </row>
    <row r="35" spans="1:18" ht="12.75">
      <c r="A35" s="5" t="s">
        <v>49</v>
      </c>
      <c r="B35" s="5" t="s">
        <v>30</v>
      </c>
      <c r="C35" s="5">
        <v>8</v>
      </c>
      <c r="D35" s="5" t="s">
        <v>187</v>
      </c>
      <c r="E35" s="5">
        <v>92</v>
      </c>
      <c r="F35" s="5" t="s">
        <v>18</v>
      </c>
      <c r="G35" s="6"/>
      <c r="H35" s="6"/>
      <c r="I35" s="9"/>
      <c r="J35" s="6"/>
      <c r="K35" s="9"/>
      <c r="L35" s="6"/>
      <c r="M35" s="9"/>
      <c r="N35" s="6"/>
      <c r="O35" s="7">
        <f t="shared" si="0"/>
        <v>92</v>
      </c>
      <c r="P35" s="5">
        <f t="shared" si="3"/>
        <v>0</v>
      </c>
      <c r="Q35" s="5">
        <f t="shared" si="2"/>
        <v>1</v>
      </c>
      <c r="R35" s="5" t="s">
        <v>206</v>
      </c>
    </row>
    <row r="36" spans="1:18" ht="12.75">
      <c r="A36" s="5" t="s">
        <v>106</v>
      </c>
      <c r="B36" s="5" t="s">
        <v>107</v>
      </c>
      <c r="C36" s="5">
        <v>8</v>
      </c>
      <c r="D36" s="5" t="s">
        <v>158</v>
      </c>
      <c r="E36" s="6"/>
      <c r="F36" s="6"/>
      <c r="G36" s="5">
        <v>80</v>
      </c>
      <c r="H36" s="5" t="s">
        <v>18</v>
      </c>
      <c r="I36" s="7">
        <f>28*(10/2.8)</f>
        <v>100</v>
      </c>
      <c r="J36" s="5" t="str">
        <f>IF(I36=100,"победитель",IF(I36&gt;62,"призер",""))</f>
        <v>победитель</v>
      </c>
      <c r="K36" s="7">
        <f>15*(10/3.2)</f>
        <v>46.875</v>
      </c>
      <c r="L36" s="6"/>
      <c r="M36" s="6"/>
      <c r="N36" s="6"/>
      <c r="O36" s="7">
        <f t="shared" si="0"/>
        <v>226.875</v>
      </c>
      <c r="P36" s="5">
        <f t="shared" si="3"/>
        <v>1</v>
      </c>
      <c r="Q36" s="5">
        <f t="shared" si="2"/>
        <v>1</v>
      </c>
      <c r="R36" s="5" t="s">
        <v>206</v>
      </c>
    </row>
    <row r="37" spans="1:18" ht="12.75">
      <c r="A37" s="5" t="s">
        <v>64</v>
      </c>
      <c r="B37" s="5" t="s">
        <v>65</v>
      </c>
      <c r="C37" s="5">
        <v>8</v>
      </c>
      <c r="D37" s="5" t="s">
        <v>188</v>
      </c>
      <c r="E37" s="5">
        <v>56</v>
      </c>
      <c r="F37" s="6"/>
      <c r="G37" s="5">
        <v>100</v>
      </c>
      <c r="H37" s="5" t="s">
        <v>15</v>
      </c>
      <c r="I37" s="7">
        <f>25*(10/2.8)</f>
        <v>89.28571428571429</v>
      </c>
      <c r="J37" s="5" t="str">
        <f>IF(I37=100,"победитель",IF(I37&gt;62,"призер",""))</f>
        <v>призер</v>
      </c>
      <c r="K37" s="7">
        <f>24*(10/3.2)</f>
        <v>75</v>
      </c>
      <c r="L37" s="5" t="s">
        <v>18</v>
      </c>
      <c r="M37" s="9"/>
      <c r="N37" s="6"/>
      <c r="O37" s="7">
        <f t="shared" si="0"/>
        <v>264.2857142857143</v>
      </c>
      <c r="P37" s="5">
        <f t="shared" si="3"/>
        <v>1</v>
      </c>
      <c r="Q37" s="5">
        <f t="shared" si="2"/>
        <v>2</v>
      </c>
      <c r="R37" s="5" t="s">
        <v>206</v>
      </c>
    </row>
    <row r="38" spans="1:18" ht="12.75">
      <c r="A38" s="5" t="s">
        <v>115</v>
      </c>
      <c r="B38" s="5" t="s">
        <v>24</v>
      </c>
      <c r="C38" s="5">
        <v>8</v>
      </c>
      <c r="D38" s="5" t="s">
        <v>160</v>
      </c>
      <c r="E38" s="6"/>
      <c r="F38" s="6"/>
      <c r="G38" s="5">
        <v>60</v>
      </c>
      <c r="H38" s="5"/>
      <c r="I38" s="7">
        <f>26*(10/2.8)</f>
        <v>92.85714285714286</v>
      </c>
      <c r="J38" s="5" t="str">
        <f>IF(I38=100,"победитель",IF(I38&gt;62,"призер",""))</f>
        <v>призер</v>
      </c>
      <c r="K38" s="7">
        <f>16*(10/3.2)</f>
        <v>50</v>
      </c>
      <c r="L38" s="6"/>
      <c r="M38" s="6"/>
      <c r="N38" s="6"/>
      <c r="O38" s="7">
        <f t="shared" si="0"/>
        <v>202.85714285714286</v>
      </c>
      <c r="P38" s="5">
        <f t="shared" si="3"/>
        <v>0</v>
      </c>
      <c r="Q38" s="5">
        <f t="shared" si="2"/>
        <v>1</v>
      </c>
      <c r="R38" s="5" t="s">
        <v>206</v>
      </c>
    </row>
    <row r="39" spans="1:18" ht="12.75">
      <c r="A39" s="3" t="s">
        <v>27</v>
      </c>
      <c r="B39" s="3" t="s">
        <v>28</v>
      </c>
      <c r="C39" s="5">
        <v>8</v>
      </c>
      <c r="D39" s="5" t="s">
        <v>158</v>
      </c>
      <c r="E39" s="5">
        <v>68</v>
      </c>
      <c r="F39" s="5"/>
      <c r="G39" s="5">
        <v>20</v>
      </c>
      <c r="H39" s="3"/>
      <c r="I39" s="7">
        <f>18*(10/2.8)</f>
        <v>64.28571428571429</v>
      </c>
      <c r="J39" s="5" t="str">
        <f>IF(I39=100,"победитель",IF(I39&gt;62,"призер",""))</f>
        <v>призер</v>
      </c>
      <c r="K39" s="7">
        <f>16*(10/3.2)</f>
        <v>50</v>
      </c>
      <c r="L39" s="3"/>
      <c r="M39" s="4">
        <f>107/2.5</f>
        <v>42.8</v>
      </c>
      <c r="N39" s="3"/>
      <c r="O39" s="7">
        <f>169</f>
        <v>169</v>
      </c>
      <c r="P39" s="5">
        <f t="shared" si="3"/>
        <v>0</v>
      </c>
      <c r="Q39" s="5">
        <f t="shared" si="2"/>
        <v>1</v>
      </c>
      <c r="R39" s="5" t="s">
        <v>206</v>
      </c>
    </row>
    <row r="40" spans="1:18" ht="12.75">
      <c r="A40" s="3" t="s">
        <v>34</v>
      </c>
      <c r="B40" s="3" t="s">
        <v>35</v>
      </c>
      <c r="C40" s="5">
        <v>8</v>
      </c>
      <c r="D40" s="5" t="s">
        <v>192</v>
      </c>
      <c r="E40" s="5">
        <v>80</v>
      </c>
      <c r="F40" s="5" t="s">
        <v>18</v>
      </c>
      <c r="G40" s="3"/>
      <c r="H40" s="3"/>
      <c r="I40" s="7">
        <f>14*(10/2.8)</f>
        <v>50</v>
      </c>
      <c r="J40" s="5">
        <f>IF(I40=100,"победитель",IF(I40&gt;62,"призер",""))</f>
      </c>
      <c r="K40" s="4"/>
      <c r="L40" s="3"/>
      <c r="M40" s="4">
        <f>89/2.5</f>
        <v>35.6</v>
      </c>
      <c r="N40" s="3"/>
      <c r="O40" s="7">
        <f aca="true" t="shared" si="4" ref="O40:O48">IF(COUNT(E40:M40)=4,SUM(D40:M40)-MIN(D40:M40),IF(COUNT(D40:M40)=5,"err",SUM(D40:M40)))</f>
        <v>165.6</v>
      </c>
      <c r="P40" s="5">
        <f t="shared" si="3"/>
        <v>0</v>
      </c>
      <c r="Q40" s="5">
        <f aca="true" t="shared" si="5" ref="Q40:Q56">COUNTIF(E40:N40,"призер")</f>
        <v>1</v>
      </c>
      <c r="R40" s="5" t="s">
        <v>206</v>
      </c>
    </row>
    <row r="41" spans="1:18" ht="12.75">
      <c r="A41" s="3" t="s">
        <v>13</v>
      </c>
      <c r="B41" s="3" t="s">
        <v>14</v>
      </c>
      <c r="C41" s="5">
        <v>8</v>
      </c>
      <c r="D41" s="5" t="s">
        <v>193</v>
      </c>
      <c r="E41" s="5">
        <v>28</v>
      </c>
      <c r="F41" s="5"/>
      <c r="G41" s="3"/>
      <c r="H41" s="3"/>
      <c r="I41" s="4"/>
      <c r="J41" s="3"/>
      <c r="K41" s="7">
        <f>17*(10/3.2)</f>
        <v>53.125</v>
      </c>
      <c r="L41" s="3"/>
      <c r="M41" s="4">
        <f>221/250*100</f>
        <v>88.4</v>
      </c>
      <c r="N41" s="3" t="s">
        <v>15</v>
      </c>
      <c r="O41" s="7">
        <f t="shared" si="4"/>
        <v>169.525</v>
      </c>
      <c r="P41" s="5">
        <f t="shared" si="3"/>
        <v>1</v>
      </c>
      <c r="Q41" s="5">
        <f t="shared" si="5"/>
        <v>0</v>
      </c>
      <c r="R41" s="5" t="s">
        <v>206</v>
      </c>
    </row>
    <row r="42" spans="1:18" ht="12.75">
      <c r="A42" s="5" t="s">
        <v>108</v>
      </c>
      <c r="B42" s="5" t="s">
        <v>109</v>
      </c>
      <c r="C42" s="5">
        <v>8</v>
      </c>
      <c r="D42" s="5" t="s">
        <v>158</v>
      </c>
      <c r="E42" s="6"/>
      <c r="F42" s="6"/>
      <c r="G42" s="5">
        <v>80</v>
      </c>
      <c r="H42" s="5" t="s">
        <v>18</v>
      </c>
      <c r="I42" s="7">
        <f>28*(10/2.8)</f>
        <v>100</v>
      </c>
      <c r="J42" s="5" t="str">
        <f>IF(I42=100,"победитель",IF(I42&gt;62,"призер",""))</f>
        <v>победитель</v>
      </c>
      <c r="K42" s="7">
        <f>17*(10/3.2)</f>
        <v>53.125</v>
      </c>
      <c r="L42" s="6"/>
      <c r="M42" s="6"/>
      <c r="N42" s="6"/>
      <c r="O42" s="7">
        <f t="shared" si="4"/>
        <v>233.125</v>
      </c>
      <c r="P42" s="5">
        <f t="shared" si="3"/>
        <v>1</v>
      </c>
      <c r="Q42" s="5">
        <f t="shared" si="5"/>
        <v>1</v>
      </c>
      <c r="R42" s="5" t="s">
        <v>206</v>
      </c>
    </row>
    <row r="43" spans="1:18" ht="12.75">
      <c r="A43" s="5" t="s">
        <v>54</v>
      </c>
      <c r="B43" s="5" t="s">
        <v>26</v>
      </c>
      <c r="C43" s="5">
        <v>8</v>
      </c>
      <c r="D43" s="5" t="s">
        <v>174</v>
      </c>
      <c r="E43" s="5">
        <v>76</v>
      </c>
      <c r="F43" s="5" t="s">
        <v>18</v>
      </c>
      <c r="G43" s="6"/>
      <c r="H43" s="6"/>
      <c r="I43" s="9"/>
      <c r="J43" s="6"/>
      <c r="K43" s="7">
        <f>14*(10/3.2)</f>
        <v>43.75</v>
      </c>
      <c r="L43" s="6"/>
      <c r="M43" s="9"/>
      <c r="N43" s="6"/>
      <c r="O43" s="7">
        <f t="shared" si="4"/>
        <v>119.75</v>
      </c>
      <c r="P43" s="5">
        <f t="shared" si="3"/>
        <v>0</v>
      </c>
      <c r="Q43" s="5">
        <f t="shared" si="5"/>
        <v>1</v>
      </c>
      <c r="R43" s="5" t="s">
        <v>206</v>
      </c>
    </row>
    <row r="44" spans="1:18" ht="12.75">
      <c r="A44" s="5" t="s">
        <v>122</v>
      </c>
      <c r="B44" s="5" t="s">
        <v>82</v>
      </c>
      <c r="C44" s="5">
        <v>8</v>
      </c>
      <c r="D44" s="5" t="s">
        <v>159</v>
      </c>
      <c r="E44" s="6"/>
      <c r="F44" s="6"/>
      <c r="G44" s="5">
        <v>20</v>
      </c>
      <c r="H44" s="5"/>
      <c r="I44" s="7">
        <f>28*(10/2.8)</f>
        <v>100</v>
      </c>
      <c r="J44" s="5" t="str">
        <f>IF(I44=100,"победитель",IF(I44&gt;62,"призер",""))</f>
        <v>победитель</v>
      </c>
      <c r="K44" s="7">
        <f>20*(10/3.2)</f>
        <v>62.5</v>
      </c>
      <c r="L44" s="5" t="s">
        <v>18</v>
      </c>
      <c r="M44" s="6"/>
      <c r="N44" s="6"/>
      <c r="O44" s="7">
        <f t="shared" si="4"/>
        <v>182.5</v>
      </c>
      <c r="P44" s="5">
        <f t="shared" si="3"/>
        <v>1</v>
      </c>
      <c r="Q44" s="5">
        <f t="shared" si="5"/>
        <v>1</v>
      </c>
      <c r="R44" s="5" t="s">
        <v>206</v>
      </c>
    </row>
    <row r="45" spans="1:18" ht="12.75">
      <c r="A45" s="3" t="s">
        <v>19</v>
      </c>
      <c r="B45" s="3" t="s">
        <v>20</v>
      </c>
      <c r="C45" s="5">
        <v>8</v>
      </c>
      <c r="D45" s="5" t="s">
        <v>194</v>
      </c>
      <c r="E45" s="5">
        <v>92</v>
      </c>
      <c r="F45" s="5" t="s">
        <v>18</v>
      </c>
      <c r="G45" s="3"/>
      <c r="H45" s="3"/>
      <c r="I45" s="7">
        <f>16*(10/2.8)</f>
        <v>57.142857142857146</v>
      </c>
      <c r="J45" s="5">
        <f>IF(I45=100,"победитель",IF(I45&gt;62,"призер",""))</f>
      </c>
      <c r="K45" s="4"/>
      <c r="L45" s="3"/>
      <c r="M45" s="4">
        <f>164/2.5</f>
        <v>65.6</v>
      </c>
      <c r="N45" s="3" t="s">
        <v>18</v>
      </c>
      <c r="O45" s="7">
        <f t="shared" si="4"/>
        <v>214.74285714285713</v>
      </c>
      <c r="P45" s="5">
        <f t="shared" si="3"/>
        <v>0</v>
      </c>
      <c r="Q45" s="5">
        <f t="shared" si="5"/>
        <v>2</v>
      </c>
      <c r="R45" s="8"/>
    </row>
    <row r="46" spans="1:18" ht="12.75">
      <c r="A46" s="5" t="s">
        <v>135</v>
      </c>
      <c r="B46" s="5" t="s">
        <v>136</v>
      </c>
      <c r="C46" s="5">
        <v>8</v>
      </c>
      <c r="D46" s="5" t="s">
        <v>195</v>
      </c>
      <c r="E46" s="6"/>
      <c r="F46" s="6"/>
      <c r="G46" s="6"/>
      <c r="H46" s="6"/>
      <c r="I46" s="7">
        <f>14*(10/2.8)</f>
        <v>50</v>
      </c>
      <c r="J46" s="5">
        <f>IF(I46=100,"победитель",IF(I46&gt;62,"призер",""))</f>
      </c>
      <c r="K46" s="9"/>
      <c r="L46" s="6"/>
      <c r="M46" s="6"/>
      <c r="N46" s="6"/>
      <c r="O46" s="7">
        <f t="shared" si="4"/>
        <v>50</v>
      </c>
      <c r="P46" s="5">
        <f t="shared" si="3"/>
        <v>0</v>
      </c>
      <c r="Q46" s="5">
        <f t="shared" si="5"/>
        <v>0</v>
      </c>
      <c r="R46" s="10"/>
    </row>
    <row r="47" spans="1:18" ht="12.75">
      <c r="A47" s="5" t="s">
        <v>57</v>
      </c>
      <c r="B47" s="5" t="s">
        <v>58</v>
      </c>
      <c r="C47" s="5">
        <v>8</v>
      </c>
      <c r="D47" s="5" t="s">
        <v>192</v>
      </c>
      <c r="E47" s="5">
        <v>68</v>
      </c>
      <c r="F47" s="6"/>
      <c r="G47" s="6"/>
      <c r="H47" s="6"/>
      <c r="I47" s="9"/>
      <c r="J47" s="6"/>
      <c r="K47" s="9"/>
      <c r="L47" s="6"/>
      <c r="M47" s="9"/>
      <c r="N47" s="6"/>
      <c r="O47" s="7">
        <f t="shared" si="4"/>
        <v>68</v>
      </c>
      <c r="P47" s="5">
        <f t="shared" si="3"/>
        <v>0</v>
      </c>
      <c r="Q47" s="5">
        <f t="shared" si="5"/>
        <v>0</v>
      </c>
      <c r="R47" s="10"/>
    </row>
    <row r="48" spans="1:18" ht="12.75">
      <c r="A48" s="5" t="s">
        <v>110</v>
      </c>
      <c r="B48" s="5" t="s">
        <v>111</v>
      </c>
      <c r="C48" s="5">
        <v>8</v>
      </c>
      <c r="D48" s="5" t="s">
        <v>196</v>
      </c>
      <c r="E48" s="6"/>
      <c r="F48" s="6"/>
      <c r="G48" s="5">
        <v>65</v>
      </c>
      <c r="H48" s="5"/>
      <c r="I48" s="7">
        <f>28*(10/2.8)</f>
        <v>100</v>
      </c>
      <c r="J48" s="5" t="str">
        <f>IF(I48=100,"победитель",IF(I48&gt;62,"призер",""))</f>
        <v>победитель</v>
      </c>
      <c r="K48" s="7">
        <f>23*(10/3.2)</f>
        <v>71.875</v>
      </c>
      <c r="L48" s="5" t="s">
        <v>18</v>
      </c>
      <c r="M48" s="6"/>
      <c r="N48" s="6"/>
      <c r="O48" s="7">
        <f t="shared" si="4"/>
        <v>236.875</v>
      </c>
      <c r="P48" s="5">
        <f t="shared" si="3"/>
        <v>1</v>
      </c>
      <c r="Q48" s="5">
        <f t="shared" si="5"/>
        <v>1</v>
      </c>
      <c r="R48" s="8"/>
    </row>
    <row r="49" spans="1:18" ht="12.75">
      <c r="A49" s="3" t="s">
        <v>41</v>
      </c>
      <c r="B49" s="3" t="s">
        <v>42</v>
      </c>
      <c r="C49" s="5">
        <v>8</v>
      </c>
      <c r="D49" s="5" t="s">
        <v>158</v>
      </c>
      <c r="E49" s="5">
        <v>76</v>
      </c>
      <c r="F49" s="5" t="s">
        <v>18</v>
      </c>
      <c r="G49" s="5">
        <v>98</v>
      </c>
      <c r="H49" s="5" t="s">
        <v>18</v>
      </c>
      <c r="I49" s="7">
        <f>26*(10/2.8)</f>
        <v>92.85714285714286</v>
      </c>
      <c r="J49" s="5" t="str">
        <f>IF(I49=100,"победитель",IF(I49&gt;62,"призер",""))</f>
        <v>призер</v>
      </c>
      <c r="K49" s="7">
        <f>12*(10/3.2)</f>
        <v>37.5</v>
      </c>
      <c r="L49" s="3"/>
      <c r="M49" s="4">
        <f>50/2.5</f>
        <v>20</v>
      </c>
      <c r="N49" s="3"/>
      <c r="O49" s="7">
        <v>248</v>
      </c>
      <c r="P49" s="5">
        <f t="shared" si="3"/>
        <v>0</v>
      </c>
      <c r="Q49" s="5">
        <f t="shared" si="5"/>
        <v>3</v>
      </c>
      <c r="R49" s="5" t="s">
        <v>206</v>
      </c>
    </row>
    <row r="50" spans="1:18" ht="12.75">
      <c r="A50" s="5" t="s">
        <v>61</v>
      </c>
      <c r="B50" s="5" t="s">
        <v>62</v>
      </c>
      <c r="C50" s="5">
        <v>8</v>
      </c>
      <c r="D50" s="5" t="s">
        <v>198</v>
      </c>
      <c r="E50" s="5">
        <v>60</v>
      </c>
      <c r="F50" s="6"/>
      <c r="G50" s="6"/>
      <c r="H50" s="6"/>
      <c r="I50" s="9"/>
      <c r="J50" s="6"/>
      <c r="K50" s="7">
        <f>16*(10/3.2)</f>
        <v>50</v>
      </c>
      <c r="L50" s="6"/>
      <c r="M50" s="9"/>
      <c r="N50" s="6"/>
      <c r="O50" s="7">
        <f>IF(COUNT(E50:M50)=4,SUM(D50:M50)-MIN(D50:M50),IF(COUNT(D50:M50)=5,"err",SUM(D50:M50)))</f>
        <v>110</v>
      </c>
      <c r="P50" s="5">
        <f t="shared" si="3"/>
        <v>0</v>
      </c>
      <c r="Q50" s="5">
        <f t="shared" si="5"/>
        <v>0</v>
      </c>
      <c r="R50" s="10"/>
    </row>
    <row r="51" spans="1:18" ht="12.75">
      <c r="A51" s="11" t="s">
        <v>143</v>
      </c>
      <c r="B51" s="11" t="s">
        <v>20</v>
      </c>
      <c r="C51" s="5">
        <v>8</v>
      </c>
      <c r="D51" s="5" t="s">
        <v>158</v>
      </c>
      <c r="E51" s="6"/>
      <c r="F51" s="6"/>
      <c r="G51" s="6"/>
      <c r="H51" s="6"/>
      <c r="I51" s="9"/>
      <c r="J51" s="6"/>
      <c r="K51" s="7">
        <f>19*(10/3.2)</f>
        <v>59.375</v>
      </c>
      <c r="L51" s="5" t="s">
        <v>18</v>
      </c>
      <c r="M51" s="6"/>
      <c r="N51" s="6"/>
      <c r="O51" s="7">
        <f>IF(COUNT(E51:M51)=4,SUM(D51:M51)-MIN(D51:M51),IF(COUNT(D51:M51)=5,"err",SUM(D51:M51)))</f>
        <v>59.375</v>
      </c>
      <c r="P51" s="5">
        <f t="shared" si="3"/>
        <v>0</v>
      </c>
      <c r="Q51" s="5">
        <f t="shared" si="5"/>
        <v>1</v>
      </c>
      <c r="R51" s="13"/>
    </row>
    <row r="52" spans="1:18" ht="12.75">
      <c r="A52" s="3" t="s">
        <v>43</v>
      </c>
      <c r="B52" s="3" t="s">
        <v>44</v>
      </c>
      <c r="C52" s="5">
        <v>8</v>
      </c>
      <c r="D52" s="5" t="s">
        <v>199</v>
      </c>
      <c r="E52" s="5">
        <v>92</v>
      </c>
      <c r="F52" s="5" t="s">
        <v>18</v>
      </c>
      <c r="G52" s="5">
        <v>100</v>
      </c>
      <c r="H52" s="5" t="s">
        <v>15</v>
      </c>
      <c r="I52" s="7">
        <f>26*(10/2.8)</f>
        <v>92.85714285714286</v>
      </c>
      <c r="J52" s="5" t="str">
        <f>IF(I52=100,"победитель",IF(I52&gt;62,"призер",""))</f>
        <v>призер</v>
      </c>
      <c r="K52" s="7">
        <f>17*(10/3.2)</f>
        <v>53.125</v>
      </c>
      <c r="L52" s="3"/>
      <c r="M52" s="4">
        <f>47/2.5</f>
        <v>18.8</v>
      </c>
      <c r="N52" s="3"/>
      <c r="O52" s="7">
        <v>266</v>
      </c>
      <c r="P52" s="5">
        <f t="shared" si="3"/>
        <v>1</v>
      </c>
      <c r="Q52" s="5">
        <f t="shared" si="5"/>
        <v>2</v>
      </c>
      <c r="R52" s="8"/>
    </row>
    <row r="53" spans="1:18" ht="12.75">
      <c r="A53" s="5" t="s">
        <v>134</v>
      </c>
      <c r="B53" s="5" t="s">
        <v>37</v>
      </c>
      <c r="C53" s="5">
        <v>8</v>
      </c>
      <c r="D53" s="5" t="s">
        <v>200</v>
      </c>
      <c r="E53" s="6"/>
      <c r="F53" s="6"/>
      <c r="G53" s="6"/>
      <c r="H53" s="6"/>
      <c r="I53" s="7">
        <f>28*(10/2.8)</f>
        <v>100</v>
      </c>
      <c r="J53" s="5" t="str">
        <f>IF(I53=100,"победитель",IF(I53&gt;62,"призер",""))</f>
        <v>победитель</v>
      </c>
      <c r="K53" s="7">
        <f>28*(10/3.2)</f>
        <v>87.5</v>
      </c>
      <c r="L53" s="5" t="s">
        <v>15</v>
      </c>
      <c r="M53" s="6"/>
      <c r="N53" s="6"/>
      <c r="O53" s="7">
        <f>IF(COUNT(E53:M53)=4,SUM(D53:M53)-MIN(D53:M53),IF(COUNT(D53:M53)=5,"err",SUM(D53:M53)))</f>
        <v>187.5</v>
      </c>
      <c r="P53" s="5">
        <f t="shared" si="3"/>
        <v>2</v>
      </c>
      <c r="Q53" s="5">
        <f t="shared" si="5"/>
        <v>0</v>
      </c>
      <c r="R53" s="5" t="s">
        <v>206</v>
      </c>
    </row>
    <row r="54" spans="1:18" ht="12.75">
      <c r="A54" s="5" t="s">
        <v>116</v>
      </c>
      <c r="B54" s="5" t="s">
        <v>107</v>
      </c>
      <c r="C54" s="5">
        <v>8</v>
      </c>
      <c r="D54" s="5" t="s">
        <v>201</v>
      </c>
      <c r="E54" s="6"/>
      <c r="F54" s="6"/>
      <c r="G54" s="5">
        <v>60</v>
      </c>
      <c r="H54" s="5"/>
      <c r="I54" s="7">
        <f>21*(10/2.8)</f>
        <v>75</v>
      </c>
      <c r="J54" s="5" t="str">
        <f>IF(I54=100,"победитель",IF(I54&gt;62,"призер",""))</f>
        <v>призер</v>
      </c>
      <c r="K54" s="9"/>
      <c r="L54" s="6"/>
      <c r="M54" s="6"/>
      <c r="N54" s="6"/>
      <c r="O54" s="7">
        <f>IF(COUNT(E54:M54)=4,SUM(D54:M54)-MIN(D54:M54),IF(COUNT(D54:M54)=5,"err",SUM(D54:M54)))</f>
        <v>135</v>
      </c>
      <c r="P54" s="5">
        <f t="shared" si="3"/>
        <v>0</v>
      </c>
      <c r="Q54" s="5">
        <f t="shared" si="5"/>
        <v>1</v>
      </c>
      <c r="R54" s="5" t="s">
        <v>206</v>
      </c>
    </row>
    <row r="55" spans="1:18" ht="12.75">
      <c r="A55" s="5" t="s">
        <v>117</v>
      </c>
      <c r="B55" s="5" t="s">
        <v>118</v>
      </c>
      <c r="C55" s="5">
        <v>8</v>
      </c>
      <c r="D55" s="5" t="s">
        <v>203</v>
      </c>
      <c r="E55" s="6"/>
      <c r="F55" s="6"/>
      <c r="G55" s="5">
        <v>60</v>
      </c>
      <c r="H55" s="5"/>
      <c r="I55" s="7">
        <f>28*(10/2.8)</f>
        <v>100</v>
      </c>
      <c r="J55" s="5" t="str">
        <f>IF(I55=100,"победитель",IF(I55&gt;62,"призер",""))</f>
        <v>победитель</v>
      </c>
      <c r="K55" s="7">
        <f>23*(10/3.2)</f>
        <v>71.875</v>
      </c>
      <c r="L55" s="5" t="s">
        <v>18</v>
      </c>
      <c r="M55" s="6"/>
      <c r="N55" s="6"/>
      <c r="O55" s="7">
        <f>IF(COUNT(E55:M55)=4,SUM(D55:M55)-MIN(D55:M55),IF(COUNT(D55:M55)=5,"err",SUM(D55:M55)))</f>
        <v>231.875</v>
      </c>
      <c r="P55" s="5">
        <f t="shared" si="3"/>
        <v>1</v>
      </c>
      <c r="Q55" s="5">
        <f t="shared" si="5"/>
        <v>1</v>
      </c>
      <c r="R55" s="5" t="s">
        <v>206</v>
      </c>
    </row>
    <row r="56" spans="1:18" ht="12.75">
      <c r="A56" s="5" t="s">
        <v>137</v>
      </c>
      <c r="B56" s="5" t="s">
        <v>131</v>
      </c>
      <c r="C56" s="5">
        <v>8</v>
      </c>
      <c r="D56" s="5" t="s">
        <v>204</v>
      </c>
      <c r="E56" s="6"/>
      <c r="F56" s="6"/>
      <c r="G56" s="6"/>
      <c r="H56" s="6"/>
      <c r="I56" s="7">
        <f>13*(10/2.8)</f>
        <v>46.42857142857143</v>
      </c>
      <c r="J56" s="5">
        <f>IF(I56=100,"победитель",IF(I56&gt;62,"призер",""))</f>
      </c>
      <c r="K56" s="9"/>
      <c r="L56" s="6"/>
      <c r="M56" s="6"/>
      <c r="N56" s="6"/>
      <c r="O56" s="7">
        <f>IF(COUNT(E56:M56)=4,SUM(D56:M56)-MIN(D56:M56),IF(COUNT(D56:M56)=5,"err",SUM(D56:M56)))</f>
        <v>46.42857142857143</v>
      </c>
      <c r="P56" s="5">
        <f t="shared" si="3"/>
        <v>0</v>
      </c>
      <c r="Q56" s="5">
        <f t="shared" si="5"/>
        <v>0</v>
      </c>
      <c r="R56" s="10"/>
    </row>
    <row r="57" spans="1:18" s="16" customFormat="1" ht="12.75">
      <c r="A57" s="12"/>
      <c r="B57" s="12"/>
      <c r="C57" s="12"/>
      <c r="D57" s="12"/>
      <c r="E57" s="13"/>
      <c r="F57" s="13"/>
      <c r="G57" s="13"/>
      <c r="H57" s="13"/>
      <c r="I57" s="14"/>
      <c r="J57" s="12"/>
      <c r="K57" s="15"/>
      <c r="L57" s="13"/>
      <c r="M57" s="13"/>
      <c r="N57" s="13"/>
      <c r="O57" s="14"/>
      <c r="P57" s="12"/>
      <c r="Q57" s="12"/>
      <c r="R57" s="13"/>
    </row>
    <row r="58" spans="1:18" ht="12.75">
      <c r="A58" s="5" t="s">
        <v>76</v>
      </c>
      <c r="B58" s="5" t="s">
        <v>77</v>
      </c>
      <c r="C58" s="5">
        <v>7</v>
      </c>
      <c r="D58" s="5" t="s">
        <v>156</v>
      </c>
      <c r="E58" s="6"/>
      <c r="F58" s="6"/>
      <c r="G58" s="5">
        <v>90</v>
      </c>
      <c r="H58" s="5" t="s">
        <v>18</v>
      </c>
      <c r="I58" s="9"/>
      <c r="J58" s="6"/>
      <c r="K58" s="7">
        <f>29*(10/3.2)</f>
        <v>90.625</v>
      </c>
      <c r="L58" s="5" t="s">
        <v>15</v>
      </c>
      <c r="M58" s="6"/>
      <c r="N58" s="6"/>
      <c r="O58" s="7">
        <f aca="true" t="shared" si="6" ref="O58:O80">IF(COUNT(E58:M58)=4,SUM(D58:M58)-MIN(D58:M58),IF(COUNT(D58:M58)=5,"err",SUM(D58:M58)))</f>
        <v>180.625</v>
      </c>
      <c r="P58" s="5">
        <f aca="true" t="shared" si="7" ref="P58:P80">COUNTIF(D58:N58,"победитель")</f>
        <v>1</v>
      </c>
      <c r="Q58" s="5">
        <f>COUNTIF(E58:N58,"призер")</f>
        <v>1</v>
      </c>
      <c r="R58" s="5" t="s">
        <v>206</v>
      </c>
    </row>
    <row r="59" spans="1:18" ht="12.75">
      <c r="A59" s="5" t="s">
        <v>127</v>
      </c>
      <c r="B59" s="5" t="s">
        <v>128</v>
      </c>
      <c r="C59" s="5">
        <v>7</v>
      </c>
      <c r="D59" s="5" t="s">
        <v>159</v>
      </c>
      <c r="E59" s="6"/>
      <c r="F59" s="6"/>
      <c r="G59" s="6"/>
      <c r="H59" s="6"/>
      <c r="I59" s="7">
        <f>24*(10/2.8)</f>
        <v>85.71428571428572</v>
      </c>
      <c r="J59" s="5" t="str">
        <f>IF(I59=100,"победитель",IF(I59&gt;74,"призер",""))</f>
        <v>призер</v>
      </c>
      <c r="K59" s="7">
        <f>20*(10/3.2)</f>
        <v>62.5</v>
      </c>
      <c r="L59" s="5" t="s">
        <v>18</v>
      </c>
      <c r="M59" s="6"/>
      <c r="N59" s="6"/>
      <c r="O59" s="7">
        <f t="shared" si="6"/>
        <v>148.21428571428572</v>
      </c>
      <c r="P59" s="5">
        <f t="shared" si="7"/>
        <v>0</v>
      </c>
      <c r="Q59" s="5">
        <f>COUNTIF(E59:N59,"призер")</f>
        <v>2</v>
      </c>
      <c r="R59" s="5" t="s">
        <v>206</v>
      </c>
    </row>
    <row r="60" spans="1:18" ht="12.75">
      <c r="A60" s="3" t="s">
        <v>36</v>
      </c>
      <c r="B60" s="3" t="s">
        <v>37</v>
      </c>
      <c r="C60" s="5">
        <v>7</v>
      </c>
      <c r="D60" s="5" t="s">
        <v>160</v>
      </c>
      <c r="E60" s="5">
        <v>96</v>
      </c>
      <c r="F60" s="5" t="s">
        <v>15</v>
      </c>
      <c r="G60" s="5">
        <v>20</v>
      </c>
      <c r="H60" s="3"/>
      <c r="I60" s="4"/>
      <c r="J60" s="3"/>
      <c r="K60" s="4"/>
      <c r="L60" s="3"/>
      <c r="M60" s="4">
        <f>85/2.5</f>
        <v>34</v>
      </c>
      <c r="N60" s="3"/>
      <c r="O60" s="7">
        <f t="shared" si="6"/>
        <v>150</v>
      </c>
      <c r="P60" s="5">
        <f t="shared" si="7"/>
        <v>1</v>
      </c>
      <c r="Q60" s="5">
        <f>COUNTIF(E60:N60,"призер")</f>
        <v>0</v>
      </c>
      <c r="R60" s="5" t="s">
        <v>206</v>
      </c>
    </row>
    <row r="61" spans="1:18" ht="12.75">
      <c r="A61" s="5" t="s">
        <v>47</v>
      </c>
      <c r="B61" s="5" t="s">
        <v>48</v>
      </c>
      <c r="C61" s="5">
        <v>7</v>
      </c>
      <c r="D61" s="5" t="s">
        <v>161</v>
      </c>
      <c r="E61" s="5">
        <v>92</v>
      </c>
      <c r="F61" s="5" t="s">
        <v>18</v>
      </c>
      <c r="G61" s="5">
        <v>20</v>
      </c>
      <c r="H61" s="6"/>
      <c r="I61" s="7">
        <f>19*(10/2.8)</f>
        <v>67.85714285714286</v>
      </c>
      <c r="J61" s="5">
        <f>IF(I61=100,"победитель",IF(I61&gt;74,"призер",""))</f>
      </c>
      <c r="K61" s="7">
        <f>13*(10/3.2)</f>
        <v>40.625</v>
      </c>
      <c r="L61" s="6"/>
      <c r="M61" s="9"/>
      <c r="N61" s="6"/>
      <c r="O61" s="7">
        <f t="shared" si="6"/>
        <v>200.48214285714286</v>
      </c>
      <c r="P61" s="5">
        <f t="shared" si="7"/>
        <v>0</v>
      </c>
      <c r="Q61" s="5">
        <f>COUNTIF(D61:M61,"призер")</f>
        <v>1</v>
      </c>
      <c r="R61" s="8"/>
    </row>
    <row r="62" spans="1:18" ht="12.75">
      <c r="A62" s="3" t="s">
        <v>29</v>
      </c>
      <c r="B62" s="3" t="s">
        <v>30</v>
      </c>
      <c r="C62" s="5">
        <v>7</v>
      </c>
      <c r="D62" s="5" t="s">
        <v>166</v>
      </c>
      <c r="E62" s="5"/>
      <c r="F62" s="5"/>
      <c r="G62" s="5">
        <v>45</v>
      </c>
      <c r="H62" s="3"/>
      <c r="I62" s="7">
        <f>21*(10/2.8)</f>
        <v>75</v>
      </c>
      <c r="J62" s="5" t="str">
        <f>IF(I62=100,"победитель",IF(I62&gt;74,"призер",""))</f>
        <v>призер</v>
      </c>
      <c r="K62" s="4"/>
      <c r="L62" s="3"/>
      <c r="M62" s="4">
        <f>103/2.5</f>
        <v>41.2</v>
      </c>
      <c r="N62" s="3"/>
      <c r="O62" s="7">
        <f t="shared" si="6"/>
        <v>161.2</v>
      </c>
      <c r="P62" s="5">
        <f t="shared" si="7"/>
        <v>0</v>
      </c>
      <c r="Q62" s="5">
        <f aca="true" t="shared" si="8" ref="Q62:Q80">COUNTIF(E62:N62,"призер")</f>
        <v>1</v>
      </c>
      <c r="R62" s="8"/>
    </row>
    <row r="63" spans="1:18" ht="12.75">
      <c r="A63" s="5" t="s">
        <v>85</v>
      </c>
      <c r="B63" s="5" t="s">
        <v>86</v>
      </c>
      <c r="C63" s="5">
        <v>7</v>
      </c>
      <c r="D63" s="5" t="s">
        <v>168</v>
      </c>
      <c r="E63" s="6"/>
      <c r="F63" s="6"/>
      <c r="G63" s="5">
        <v>65</v>
      </c>
      <c r="H63" s="5" t="s">
        <v>18</v>
      </c>
      <c r="I63" s="9"/>
      <c r="J63" s="6"/>
      <c r="K63" s="9"/>
      <c r="L63" s="6"/>
      <c r="M63" s="6"/>
      <c r="N63" s="6"/>
      <c r="O63" s="7">
        <f t="shared" si="6"/>
        <v>65</v>
      </c>
      <c r="P63" s="5">
        <f t="shared" si="7"/>
        <v>0</v>
      </c>
      <c r="Q63" s="5">
        <f t="shared" si="8"/>
        <v>1</v>
      </c>
      <c r="R63" s="6"/>
    </row>
    <row r="64" spans="1:18" ht="12.75">
      <c r="A64" s="5" t="s">
        <v>90</v>
      </c>
      <c r="B64" s="5" t="s">
        <v>91</v>
      </c>
      <c r="C64" s="5">
        <v>7</v>
      </c>
      <c r="D64" s="5" t="s">
        <v>173</v>
      </c>
      <c r="E64" s="6"/>
      <c r="F64" s="6"/>
      <c r="G64" s="5">
        <v>20</v>
      </c>
      <c r="H64" s="5"/>
      <c r="I64" s="9"/>
      <c r="J64" s="6"/>
      <c r="K64" s="9"/>
      <c r="L64" s="6"/>
      <c r="M64" s="6"/>
      <c r="N64" s="6"/>
      <c r="O64" s="7">
        <f t="shared" si="6"/>
        <v>20</v>
      </c>
      <c r="P64" s="5">
        <f t="shared" si="7"/>
        <v>0</v>
      </c>
      <c r="Q64" s="5">
        <f t="shared" si="8"/>
        <v>0</v>
      </c>
      <c r="R64" s="10"/>
    </row>
    <row r="65" spans="1:18" ht="12.75">
      <c r="A65" s="5" t="s">
        <v>92</v>
      </c>
      <c r="B65" s="5" t="s">
        <v>93</v>
      </c>
      <c r="C65" s="5">
        <v>7</v>
      </c>
      <c r="D65" s="5" t="s">
        <v>174</v>
      </c>
      <c r="E65" s="6"/>
      <c r="F65" s="6"/>
      <c r="G65" s="5">
        <v>20</v>
      </c>
      <c r="H65" s="5"/>
      <c r="I65" s="9"/>
      <c r="J65" s="6"/>
      <c r="K65" s="9"/>
      <c r="L65" s="6"/>
      <c r="M65" s="6"/>
      <c r="N65" s="6"/>
      <c r="O65" s="7">
        <f t="shared" si="6"/>
        <v>20</v>
      </c>
      <c r="P65" s="5">
        <f t="shared" si="7"/>
        <v>0</v>
      </c>
      <c r="Q65" s="5">
        <f t="shared" si="8"/>
        <v>0</v>
      </c>
      <c r="R65" s="10"/>
    </row>
    <row r="66" spans="1:18" ht="12.75">
      <c r="A66" s="5" t="s">
        <v>123</v>
      </c>
      <c r="B66" s="5" t="s">
        <v>124</v>
      </c>
      <c r="C66" s="5">
        <v>7</v>
      </c>
      <c r="D66" s="5" t="s">
        <v>176</v>
      </c>
      <c r="E66" s="6"/>
      <c r="F66" s="6"/>
      <c r="G66" s="6"/>
      <c r="H66" s="6"/>
      <c r="I66" s="7">
        <f>28*(10/2.8)</f>
        <v>100</v>
      </c>
      <c r="J66" s="5" t="str">
        <f>IF(I66=100,"победитель",IF(I66&gt;74,"призер",""))</f>
        <v>победитель</v>
      </c>
      <c r="K66" s="9"/>
      <c r="L66" s="6"/>
      <c r="M66" s="6"/>
      <c r="N66" s="6"/>
      <c r="O66" s="7">
        <f t="shared" si="6"/>
        <v>100</v>
      </c>
      <c r="P66" s="5">
        <f t="shared" si="7"/>
        <v>1</v>
      </c>
      <c r="Q66" s="5">
        <f t="shared" si="8"/>
        <v>0</v>
      </c>
      <c r="R66" s="5" t="s">
        <v>206</v>
      </c>
    </row>
    <row r="67" spans="1:18" ht="12.75">
      <c r="A67" s="5" t="s">
        <v>79</v>
      </c>
      <c r="B67" s="5" t="s">
        <v>80</v>
      </c>
      <c r="C67" s="5">
        <v>7</v>
      </c>
      <c r="D67" s="5" t="s">
        <v>177</v>
      </c>
      <c r="E67" s="6"/>
      <c r="F67" s="6"/>
      <c r="G67" s="5">
        <v>80</v>
      </c>
      <c r="H67" s="5" t="s">
        <v>18</v>
      </c>
      <c r="I67" s="9"/>
      <c r="J67" s="6"/>
      <c r="K67" s="9"/>
      <c r="L67" s="6"/>
      <c r="M67" s="6"/>
      <c r="N67" s="6"/>
      <c r="O67" s="7">
        <f t="shared" si="6"/>
        <v>80</v>
      </c>
      <c r="P67" s="5">
        <f t="shared" si="7"/>
        <v>0</v>
      </c>
      <c r="Q67" s="5">
        <f t="shared" si="8"/>
        <v>1</v>
      </c>
      <c r="R67" s="5" t="s">
        <v>206</v>
      </c>
    </row>
    <row r="68" spans="1:18" ht="12.75">
      <c r="A68" s="5" t="s">
        <v>69</v>
      </c>
      <c r="B68" s="5" t="s">
        <v>70</v>
      </c>
      <c r="C68" s="5">
        <v>7</v>
      </c>
      <c r="D68" s="5" t="s">
        <v>178</v>
      </c>
      <c r="E68" s="6"/>
      <c r="F68" s="6"/>
      <c r="G68" s="5">
        <v>100</v>
      </c>
      <c r="H68" s="5" t="s">
        <v>15</v>
      </c>
      <c r="I68" s="7">
        <f>24*(10/2.8)</f>
        <v>85.71428571428572</v>
      </c>
      <c r="J68" s="5" t="str">
        <f>IF(I68=100,"победитель",IF(I68&gt;74,"призер",""))</f>
        <v>призер</v>
      </c>
      <c r="K68" s="7">
        <f>5*(10/3.2)</f>
        <v>15.625</v>
      </c>
      <c r="L68" s="6"/>
      <c r="M68" s="6"/>
      <c r="N68" s="6"/>
      <c r="O68" s="7">
        <f t="shared" si="6"/>
        <v>201.33928571428572</v>
      </c>
      <c r="P68" s="5">
        <f t="shared" si="7"/>
        <v>1</v>
      </c>
      <c r="Q68" s="5">
        <f t="shared" si="8"/>
        <v>1</v>
      </c>
      <c r="R68" s="5" t="s">
        <v>206</v>
      </c>
    </row>
    <row r="69" spans="1:18" ht="12.75">
      <c r="A69" s="5" t="s">
        <v>72</v>
      </c>
      <c r="B69" s="5" t="s">
        <v>73</v>
      </c>
      <c r="C69" s="5">
        <v>7</v>
      </c>
      <c r="D69" s="5" t="s">
        <v>174</v>
      </c>
      <c r="E69" s="6"/>
      <c r="F69" s="6"/>
      <c r="G69" s="5">
        <v>100</v>
      </c>
      <c r="H69" s="5" t="s">
        <v>15</v>
      </c>
      <c r="I69" s="7">
        <f>26*(10/2.8)</f>
        <v>92.85714285714286</v>
      </c>
      <c r="J69" s="5" t="str">
        <f>IF(I69=100,"победитель",IF(I69&gt;74,"призер",""))</f>
        <v>призер</v>
      </c>
      <c r="K69" s="7">
        <f>25*(10/3.2)</f>
        <v>78.125</v>
      </c>
      <c r="L69" s="5" t="s">
        <v>18</v>
      </c>
      <c r="M69" s="6"/>
      <c r="N69" s="6"/>
      <c r="O69" s="7">
        <f t="shared" si="6"/>
        <v>270.9821428571429</v>
      </c>
      <c r="P69" s="5">
        <f t="shared" si="7"/>
        <v>1</v>
      </c>
      <c r="Q69" s="5">
        <f t="shared" si="8"/>
        <v>2</v>
      </c>
      <c r="R69" s="8"/>
    </row>
    <row r="70" spans="1:18" ht="12.75">
      <c r="A70" s="5" t="s">
        <v>132</v>
      </c>
      <c r="B70" s="5" t="s">
        <v>37</v>
      </c>
      <c r="C70" s="5">
        <v>7</v>
      </c>
      <c r="D70" s="5" t="s">
        <v>184</v>
      </c>
      <c r="E70" s="6"/>
      <c r="F70" s="6"/>
      <c r="G70" s="6"/>
      <c r="H70" s="6"/>
      <c r="I70" s="7">
        <f>11*(10/2.8)</f>
        <v>39.285714285714285</v>
      </c>
      <c r="J70" s="5">
        <f>IF(I70=100,"победитель",IF(I70&gt;74,"призер",""))</f>
      </c>
      <c r="K70" s="9"/>
      <c r="L70" s="6"/>
      <c r="M70" s="6"/>
      <c r="N70" s="6"/>
      <c r="O70" s="7">
        <f t="shared" si="6"/>
        <v>39.285714285714285</v>
      </c>
      <c r="P70" s="5">
        <f t="shared" si="7"/>
        <v>0</v>
      </c>
      <c r="Q70" s="5">
        <f t="shared" si="8"/>
        <v>0</v>
      </c>
      <c r="R70" s="10"/>
    </row>
    <row r="71" spans="1:18" ht="12.75">
      <c r="A71" s="11" t="s">
        <v>146</v>
      </c>
      <c r="B71" s="11" t="s">
        <v>147</v>
      </c>
      <c r="C71" s="5">
        <v>7</v>
      </c>
      <c r="D71" s="5" t="s">
        <v>170</v>
      </c>
      <c r="E71" s="6"/>
      <c r="F71" s="6"/>
      <c r="G71" s="6"/>
      <c r="H71" s="6"/>
      <c r="I71" s="9"/>
      <c r="J71" s="6"/>
      <c r="K71" s="7">
        <f>17*(10/3.2)</f>
        <v>53.125</v>
      </c>
      <c r="L71" s="5"/>
      <c r="M71" s="6"/>
      <c r="N71" s="6"/>
      <c r="O71" s="7">
        <f t="shared" si="6"/>
        <v>53.125</v>
      </c>
      <c r="P71" s="5">
        <f t="shared" si="7"/>
        <v>0</v>
      </c>
      <c r="Q71" s="5">
        <f t="shared" si="8"/>
        <v>0</v>
      </c>
      <c r="R71" s="10"/>
    </row>
    <row r="72" spans="1:18" ht="12.75">
      <c r="A72" s="3" t="s">
        <v>23</v>
      </c>
      <c r="B72" s="3" t="s">
        <v>24</v>
      </c>
      <c r="C72" s="5">
        <v>7</v>
      </c>
      <c r="D72" s="5" t="s">
        <v>158</v>
      </c>
      <c r="E72" s="6"/>
      <c r="F72" s="6"/>
      <c r="G72" s="3"/>
      <c r="H72" s="3"/>
      <c r="I72" s="7">
        <f>25*(10/2.8)</f>
        <v>89.28571428571429</v>
      </c>
      <c r="J72" s="5" t="str">
        <f>IF(I72=100,"победитель",IF(I72&gt;74,"призер",""))</f>
        <v>призер</v>
      </c>
      <c r="K72" s="7">
        <f>29*(10/3.2)</f>
        <v>90.625</v>
      </c>
      <c r="L72" s="5" t="s">
        <v>15</v>
      </c>
      <c r="M72" s="4">
        <f>134/2.5</f>
        <v>53.6</v>
      </c>
      <c r="N72" s="3" t="s">
        <v>18</v>
      </c>
      <c r="O72" s="7">
        <f t="shared" si="6"/>
        <v>233.51071428571427</v>
      </c>
      <c r="P72" s="5">
        <f t="shared" si="7"/>
        <v>1</v>
      </c>
      <c r="Q72" s="5">
        <f t="shared" si="8"/>
        <v>2</v>
      </c>
      <c r="R72" s="5" t="s">
        <v>206</v>
      </c>
    </row>
    <row r="73" spans="1:18" ht="12.75">
      <c r="A73" s="5" t="s">
        <v>125</v>
      </c>
      <c r="B73" s="5" t="s">
        <v>126</v>
      </c>
      <c r="C73" s="5">
        <v>7</v>
      </c>
      <c r="D73" s="5" t="s">
        <v>185</v>
      </c>
      <c r="E73" s="6"/>
      <c r="F73" s="6"/>
      <c r="G73" s="6"/>
      <c r="H73" s="6"/>
      <c r="I73" s="7">
        <f>26*(10/2.8)</f>
        <v>92.85714285714286</v>
      </c>
      <c r="J73" s="5" t="str">
        <f>IF(I73=100,"победитель",IF(I73&gt;74,"призер",""))</f>
        <v>призер</v>
      </c>
      <c r="K73" s="9"/>
      <c r="L73" s="6"/>
      <c r="M73" s="6"/>
      <c r="N73" s="6"/>
      <c r="O73" s="7">
        <f t="shared" si="6"/>
        <v>92.85714285714286</v>
      </c>
      <c r="P73" s="5">
        <f t="shared" si="7"/>
        <v>0</v>
      </c>
      <c r="Q73" s="5">
        <f t="shared" si="8"/>
        <v>1</v>
      </c>
      <c r="R73" s="5" t="s">
        <v>206</v>
      </c>
    </row>
    <row r="74" spans="1:18" ht="12.75">
      <c r="A74" s="5" t="s">
        <v>74</v>
      </c>
      <c r="B74" s="5" t="s">
        <v>75</v>
      </c>
      <c r="C74" s="5">
        <v>7</v>
      </c>
      <c r="D74" s="5" t="s">
        <v>186</v>
      </c>
      <c r="E74" s="6"/>
      <c r="F74" s="6"/>
      <c r="G74" s="5">
        <v>100</v>
      </c>
      <c r="H74" s="5" t="s">
        <v>15</v>
      </c>
      <c r="I74" s="7">
        <f>24*(10/2.8)</f>
        <v>85.71428571428572</v>
      </c>
      <c r="J74" s="5" t="str">
        <f>IF(I74=100,"победитель",IF(I74&gt;74,"призер",""))</f>
        <v>призер</v>
      </c>
      <c r="K74" s="9"/>
      <c r="L74" s="6"/>
      <c r="M74" s="6"/>
      <c r="N74" s="6"/>
      <c r="O74" s="7">
        <f t="shared" si="6"/>
        <v>185.71428571428572</v>
      </c>
      <c r="P74" s="5">
        <f t="shared" si="7"/>
        <v>1</v>
      </c>
      <c r="Q74" s="5">
        <f t="shared" si="8"/>
        <v>1</v>
      </c>
      <c r="R74" s="8"/>
    </row>
    <row r="75" spans="1:18" ht="12.75">
      <c r="A75" s="3" t="s">
        <v>25</v>
      </c>
      <c r="B75" s="3" t="s">
        <v>26</v>
      </c>
      <c r="C75" s="5">
        <v>7</v>
      </c>
      <c r="D75" s="5" t="s">
        <v>190</v>
      </c>
      <c r="E75" s="5"/>
      <c r="F75" s="5"/>
      <c r="G75" s="3"/>
      <c r="H75" s="3"/>
      <c r="I75" s="4"/>
      <c r="J75" s="3"/>
      <c r="K75" s="7">
        <f>11*(10/3.2)</f>
        <v>34.375</v>
      </c>
      <c r="L75" s="3"/>
      <c r="M75" s="4">
        <f>110/2.5</f>
        <v>44</v>
      </c>
      <c r="N75" s="3"/>
      <c r="O75" s="7">
        <f t="shared" si="6"/>
        <v>78.375</v>
      </c>
      <c r="P75" s="5">
        <f t="shared" si="7"/>
        <v>0</v>
      </c>
      <c r="Q75" s="5">
        <f t="shared" si="8"/>
        <v>0</v>
      </c>
      <c r="R75" s="10"/>
    </row>
    <row r="76" spans="1:18" ht="12.75">
      <c r="A76" s="5" t="s">
        <v>84</v>
      </c>
      <c r="B76" s="5" t="s">
        <v>53</v>
      </c>
      <c r="C76" s="5">
        <v>7</v>
      </c>
      <c r="D76" s="5" t="s">
        <v>191</v>
      </c>
      <c r="E76" s="6"/>
      <c r="F76" s="6"/>
      <c r="G76" s="5">
        <v>70</v>
      </c>
      <c r="H76" s="5" t="s">
        <v>18</v>
      </c>
      <c r="I76" s="7">
        <f>28*(10/2.8)</f>
        <v>100</v>
      </c>
      <c r="J76" s="5" t="str">
        <f>IF(I76=100,"победитель",IF(I76&gt;74,"призер",""))</f>
        <v>победитель</v>
      </c>
      <c r="K76" s="7">
        <f>20*(10/3.2)</f>
        <v>62.5</v>
      </c>
      <c r="L76" s="5" t="s">
        <v>18</v>
      </c>
      <c r="M76" s="6"/>
      <c r="N76" s="6"/>
      <c r="O76" s="7">
        <f t="shared" si="6"/>
        <v>232.5</v>
      </c>
      <c r="P76" s="5">
        <f t="shared" si="7"/>
        <v>1</v>
      </c>
      <c r="Q76" s="5">
        <f t="shared" si="8"/>
        <v>2</v>
      </c>
      <c r="R76" s="5" t="s">
        <v>206</v>
      </c>
    </row>
    <row r="77" spans="1:18" ht="12.75">
      <c r="A77" s="5" t="s">
        <v>81</v>
      </c>
      <c r="B77" s="5" t="s">
        <v>82</v>
      </c>
      <c r="C77" s="5">
        <v>7</v>
      </c>
      <c r="D77" s="5" t="s">
        <v>91</v>
      </c>
      <c r="E77" s="6"/>
      <c r="F77" s="6"/>
      <c r="G77" s="5">
        <v>80</v>
      </c>
      <c r="H77" s="5" t="s">
        <v>18</v>
      </c>
      <c r="I77" s="7">
        <f>28*(10/2.8)</f>
        <v>100</v>
      </c>
      <c r="J77" s="5" t="str">
        <f>IF(I77=100,"победитель",IF(I77&gt;74,"призер",""))</f>
        <v>победитель</v>
      </c>
      <c r="K77" s="9"/>
      <c r="L77" s="6"/>
      <c r="M77" s="6"/>
      <c r="N77" s="6"/>
      <c r="O77" s="7">
        <f t="shared" si="6"/>
        <v>180</v>
      </c>
      <c r="P77" s="5">
        <f t="shared" si="7"/>
        <v>1</v>
      </c>
      <c r="Q77" s="5">
        <f t="shared" si="8"/>
        <v>1</v>
      </c>
      <c r="R77" s="5" t="s">
        <v>206</v>
      </c>
    </row>
    <row r="78" spans="1:18" ht="12.75">
      <c r="A78" s="5" t="s">
        <v>87</v>
      </c>
      <c r="B78" s="5" t="s">
        <v>77</v>
      </c>
      <c r="C78" s="5">
        <v>7</v>
      </c>
      <c r="D78" s="5" t="s">
        <v>156</v>
      </c>
      <c r="E78" s="6"/>
      <c r="F78" s="6"/>
      <c r="G78" s="5">
        <v>60</v>
      </c>
      <c r="H78" s="5" t="s">
        <v>18</v>
      </c>
      <c r="I78" s="7">
        <f>18*(10/2.8)</f>
        <v>64.28571428571429</v>
      </c>
      <c r="J78" s="5">
        <f>IF(I78=100,"победитель",IF(I78&gt;74,"призер",""))</f>
      </c>
      <c r="K78" s="7">
        <f>7*(10/3.2)</f>
        <v>21.875</v>
      </c>
      <c r="L78" s="6"/>
      <c r="M78" s="6"/>
      <c r="N78" s="6"/>
      <c r="O78" s="7">
        <f t="shared" si="6"/>
        <v>146.16071428571428</v>
      </c>
      <c r="P78" s="5">
        <f t="shared" si="7"/>
        <v>0</v>
      </c>
      <c r="Q78" s="5">
        <f t="shared" si="8"/>
        <v>1</v>
      </c>
      <c r="R78" s="5" t="s">
        <v>206</v>
      </c>
    </row>
    <row r="79" spans="1:18" ht="12.75">
      <c r="A79" s="5" t="s">
        <v>83</v>
      </c>
      <c r="B79" s="5" t="s">
        <v>75</v>
      </c>
      <c r="C79" s="5">
        <v>7</v>
      </c>
      <c r="D79" s="5" t="s">
        <v>165</v>
      </c>
      <c r="E79" s="6"/>
      <c r="F79" s="6"/>
      <c r="G79" s="5">
        <v>80</v>
      </c>
      <c r="H79" s="5" t="s">
        <v>18</v>
      </c>
      <c r="I79" s="7">
        <f>21*(10/2.8)</f>
        <v>75</v>
      </c>
      <c r="J79" s="5" t="str">
        <f>IF(I79=100,"победитель",IF(I79&gt;74,"призер",""))</f>
        <v>призер</v>
      </c>
      <c r="K79" s="9"/>
      <c r="L79" s="6"/>
      <c r="M79" s="6"/>
      <c r="N79" s="6"/>
      <c r="O79" s="7">
        <f t="shared" si="6"/>
        <v>155</v>
      </c>
      <c r="P79" s="5">
        <f t="shared" si="7"/>
        <v>0</v>
      </c>
      <c r="Q79" s="5">
        <f t="shared" si="8"/>
        <v>2</v>
      </c>
      <c r="R79" s="5" t="s">
        <v>206</v>
      </c>
    </row>
    <row r="80" spans="1:18" ht="12.75">
      <c r="A80" s="5" t="s">
        <v>88</v>
      </c>
      <c r="B80" s="5" t="s">
        <v>89</v>
      </c>
      <c r="C80" s="5">
        <v>7</v>
      </c>
      <c r="D80" s="5" t="s">
        <v>197</v>
      </c>
      <c r="E80" s="6"/>
      <c r="F80" s="6"/>
      <c r="G80" s="5">
        <v>40</v>
      </c>
      <c r="H80" s="5"/>
      <c r="I80" s="9"/>
      <c r="J80" s="6"/>
      <c r="K80" s="9"/>
      <c r="L80" s="6"/>
      <c r="M80" s="6"/>
      <c r="N80" s="6"/>
      <c r="O80" s="7">
        <f t="shared" si="6"/>
        <v>40</v>
      </c>
      <c r="P80" s="5">
        <f t="shared" si="7"/>
        <v>0</v>
      </c>
      <c r="Q80" s="5">
        <f t="shared" si="8"/>
        <v>0</v>
      </c>
      <c r="R80" s="10"/>
    </row>
    <row r="81" spans="1:18" s="16" customFormat="1" ht="12.75">
      <c r="A81" s="12"/>
      <c r="B81" s="12"/>
      <c r="C81" s="12"/>
      <c r="D81" s="12"/>
      <c r="E81" s="13"/>
      <c r="F81" s="13"/>
      <c r="G81" s="12"/>
      <c r="H81" s="12"/>
      <c r="I81" s="15"/>
      <c r="J81" s="13"/>
      <c r="K81" s="15"/>
      <c r="L81" s="13"/>
      <c r="M81" s="13"/>
      <c r="N81" s="13"/>
      <c r="O81" s="14"/>
      <c r="P81" s="12"/>
      <c r="Q81" s="12"/>
      <c r="R81" s="13"/>
    </row>
    <row r="82" spans="1:18" ht="12.75">
      <c r="A82" s="11" t="s">
        <v>148</v>
      </c>
      <c r="B82" s="11" t="s">
        <v>149</v>
      </c>
      <c r="C82" s="12">
        <v>6</v>
      </c>
      <c r="D82" s="5" t="s">
        <v>161</v>
      </c>
      <c r="E82" s="6"/>
      <c r="F82" s="6"/>
      <c r="G82" s="6"/>
      <c r="H82" s="6"/>
      <c r="I82" s="9"/>
      <c r="J82" s="6"/>
      <c r="K82" s="7">
        <f>16*(10/3.2)</f>
        <v>50</v>
      </c>
      <c r="L82" s="5"/>
      <c r="M82" s="6"/>
      <c r="N82" s="6"/>
      <c r="O82" s="7">
        <f>IF(COUNT(E82:M82)=4,SUM(D82:M82)-MIN(D82:M82),IF(COUNT(D82:M82)=5,"err",SUM(D82:M82)))</f>
        <v>50</v>
      </c>
      <c r="P82" s="5">
        <f>COUNTIF(D82:N82,"победитель")</f>
        <v>0</v>
      </c>
      <c r="Q82" s="5">
        <f>COUNTIF(E82:N82,"призер")</f>
        <v>0</v>
      </c>
      <c r="R82" s="10"/>
    </row>
    <row r="83" spans="1:18" ht="12.75">
      <c r="A83" s="5" t="s">
        <v>130</v>
      </c>
      <c r="B83" s="5" t="s">
        <v>131</v>
      </c>
      <c r="C83" s="12">
        <v>6</v>
      </c>
      <c r="D83" s="5" t="s">
        <v>189</v>
      </c>
      <c r="E83" s="6"/>
      <c r="F83" s="6"/>
      <c r="G83" s="6"/>
      <c r="H83" s="6"/>
      <c r="I83" s="7">
        <f>13*(10/2.8)</f>
        <v>46.42857142857143</v>
      </c>
      <c r="J83" s="5">
        <f>IF(I83=100,"победитель",IF(I83&gt;74,"призер",""))</f>
      </c>
      <c r="K83" s="9"/>
      <c r="L83" s="6"/>
      <c r="M83" s="6"/>
      <c r="N83" s="6"/>
      <c r="O83" s="7">
        <f>IF(COUNT(E83:M83)=4,SUM(D83:M83)-MIN(D83:M83),IF(COUNT(D83:M83)=5,"err",SUM(D83:M83)))</f>
        <v>46.42857142857143</v>
      </c>
      <c r="P83" s="5">
        <f>COUNTIF(D83:N83,"победитель")</f>
        <v>0</v>
      </c>
      <c r="Q83" s="5">
        <f>COUNTIF(E83:N83,"призер")</f>
        <v>0</v>
      </c>
      <c r="R83" s="10"/>
    </row>
    <row r="84" spans="1:18" ht="12.75">
      <c r="A84" s="5" t="s">
        <v>129</v>
      </c>
      <c r="B84" s="5" t="s">
        <v>70</v>
      </c>
      <c r="C84" s="12">
        <v>6</v>
      </c>
      <c r="D84" s="5" t="s">
        <v>161</v>
      </c>
      <c r="E84" s="6"/>
      <c r="F84" s="6"/>
      <c r="G84" s="6"/>
      <c r="H84" s="6"/>
      <c r="I84" s="7">
        <f>14*(10/2.8)</f>
        <v>50</v>
      </c>
      <c r="J84" s="5">
        <f>IF(I84=100,"победитель",IF(I84&gt;74,"призер",""))</f>
      </c>
      <c r="K84" s="7">
        <f>29*(10/3.2)</f>
        <v>90.625</v>
      </c>
      <c r="L84" s="5" t="s">
        <v>15</v>
      </c>
      <c r="M84" s="6"/>
      <c r="N84" s="6"/>
      <c r="O84" s="7">
        <f>IF(COUNT(E84:M84)=4,SUM(D84:M84)-MIN(D84:M84),IF(COUNT(D84:M84)=5,"err",SUM(D84:M84)))</f>
        <v>140.625</v>
      </c>
      <c r="P84" s="5">
        <f>COUNTIF(D84:N84,"победитель")</f>
        <v>1</v>
      </c>
      <c r="Q84" s="5">
        <f>COUNTIF(E84:N84,"призер")</f>
        <v>0</v>
      </c>
      <c r="R84" s="5" t="s">
        <v>206</v>
      </c>
    </row>
    <row r="85" spans="1:18" ht="12.75">
      <c r="A85" s="11" t="s">
        <v>150</v>
      </c>
      <c r="B85" s="11" t="s">
        <v>151</v>
      </c>
      <c r="C85" s="12">
        <v>6</v>
      </c>
      <c r="D85" s="5" t="s">
        <v>202</v>
      </c>
      <c r="E85" s="6"/>
      <c r="F85" s="6"/>
      <c r="G85" s="6"/>
      <c r="H85" s="6"/>
      <c r="I85" s="9"/>
      <c r="J85" s="6"/>
      <c r="K85" s="7">
        <f>16*(10/3.2)</f>
        <v>50</v>
      </c>
      <c r="L85" s="5"/>
      <c r="M85" s="6"/>
      <c r="N85" s="6"/>
      <c r="O85" s="7">
        <f>IF(COUNT(E85:M85)=4,SUM(D85:M85)-MIN(D85:M85),IF(COUNT(D85:M85)=5,"err",SUM(D85:M85)))</f>
        <v>50</v>
      </c>
      <c r="P85" s="5">
        <f>COUNTIF(D85:N85,"победитель")</f>
        <v>0</v>
      </c>
      <c r="Q85" s="5">
        <f>COUNTIF(E85:N85,"призер")</f>
        <v>0</v>
      </c>
      <c r="R85" s="1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</dc:creator>
  <cp:keywords/>
  <dc:description/>
  <cp:lastModifiedBy>User</cp:lastModifiedBy>
  <dcterms:created xsi:type="dcterms:W3CDTF">2020-05-07T20:07:50Z</dcterms:created>
  <dcterms:modified xsi:type="dcterms:W3CDTF">2020-05-14T17:12:55Z</dcterms:modified>
  <cp:category/>
  <cp:version/>
  <cp:contentType/>
  <cp:contentStatus/>
</cp:coreProperties>
</file>